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pt_city\"/>
    </mc:Choice>
  </mc:AlternateContent>
  <xr:revisionPtr revIDLastSave="0" documentId="13_ncr:1_{1863040F-EDB3-47CF-82C3-785F39B59B6C}" xr6:coauthVersionLast="47" xr6:coauthVersionMax="47" xr10:uidLastSave="{00000000-0000-0000-0000-000000000000}"/>
  <bookViews>
    <workbookView xWindow="-120" yWindow="-120" windowWidth="38640" windowHeight="23520" xr2:uid="{00000000-000D-0000-FFFF-FFFF00000000}"/>
  </bookViews>
  <sheets>
    <sheet name="Read Me" sheetId="1" r:id="rId1"/>
    <sheet name="1. PT City Performance" sheetId="2" r:id="rId2"/>
    <sheet name="2. Competitor Benchmark" sheetId="3" r:id="rId3"/>
    <sheet name="3. Auto-Reply Analysis" sheetId="4" r:id="rId4"/>
    <sheet name="4. Reply Templates" sheetId="5" r:id="rId5"/>
    <sheet name="5. Audience Categories" sheetId="6" r:id="rId6"/>
    <sheet name="6. Content Types" sheetId="7" r:id="rId7"/>
    <sheet name="7. Visual Identity" sheetId="8" r:id="rId8"/>
    <sheet name="8. Captions" sheetId="9" r:id="rId9"/>
    <sheet name="9. Target Audience" sheetId="10" r:id="rId10"/>
    <sheet name="10. Tone of Voice" sheetId="11" r:id="rId11"/>
    <sheet name="11. Recommendations" sheetId="12" r:id="rId12"/>
    <sheet name="12. Report &amp; Action Plan" sheetId="13" r:id="rId13"/>
    <sheet name="Platforms &amp; Age" sheetId="14" r:id="rId14"/>
    <sheet name="Post Data" sheetId="15" r:id="rId15"/>
    <sheet name="Comment Data" sheetId="16" r:id="rId16"/>
  </sheets>
  <definedNames>
    <definedName name="_xlnm._FilterDatabase" localSheetId="15" hidden="1">'Comment Data'!$A$1:$H$473</definedName>
    <definedName name="_xlnm._FilterDatabase" localSheetId="14" hidden="1">'Post Data'!$A$1:$Y$537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37" i="15" l="1"/>
  <c r="N537" i="15"/>
  <c r="O536" i="15"/>
  <c r="N536" i="15"/>
  <c r="O535" i="15"/>
  <c r="N535" i="15"/>
  <c r="O534" i="15"/>
  <c r="N534" i="15"/>
  <c r="O533" i="15"/>
  <c r="N533" i="15"/>
  <c r="O532" i="15"/>
  <c r="N532" i="15"/>
  <c r="O531" i="15"/>
  <c r="N531" i="15"/>
  <c r="O530" i="15"/>
  <c r="N530" i="15"/>
  <c r="O529" i="15"/>
  <c r="N529" i="15"/>
  <c r="O528" i="15"/>
  <c r="N528" i="15"/>
  <c r="O527" i="15"/>
  <c r="N527" i="15"/>
  <c r="O526" i="15"/>
  <c r="N526" i="15"/>
  <c r="O525" i="15"/>
  <c r="N525" i="15"/>
  <c r="O524" i="15"/>
  <c r="N524" i="15"/>
  <c r="O523" i="15"/>
  <c r="N523" i="15"/>
  <c r="O522" i="15"/>
  <c r="N522" i="15"/>
  <c r="O521" i="15"/>
  <c r="N521" i="15"/>
  <c r="O520" i="15"/>
  <c r="N520" i="15"/>
  <c r="O519" i="15"/>
  <c r="N519" i="15"/>
  <c r="O518" i="15"/>
  <c r="N518" i="15"/>
  <c r="O517" i="15"/>
  <c r="N517" i="15"/>
  <c r="O516" i="15"/>
  <c r="N516" i="15"/>
  <c r="O515" i="15"/>
  <c r="N515" i="15"/>
  <c r="O514" i="15"/>
  <c r="N514" i="15"/>
  <c r="O513" i="15"/>
  <c r="N513" i="15"/>
  <c r="O512" i="15"/>
  <c r="N512" i="15"/>
  <c r="O511" i="15"/>
  <c r="N511" i="15"/>
  <c r="O510" i="15"/>
  <c r="N510" i="15"/>
  <c r="O509" i="15"/>
  <c r="N509" i="15"/>
  <c r="O508" i="15"/>
  <c r="N508" i="15"/>
  <c r="O507" i="15"/>
  <c r="N507" i="15"/>
  <c r="O506" i="15"/>
  <c r="N506" i="15"/>
  <c r="O505" i="15"/>
  <c r="N505" i="15"/>
  <c r="O504" i="15"/>
  <c r="N504" i="15"/>
  <c r="O503" i="15"/>
  <c r="N503" i="15"/>
  <c r="O502" i="15"/>
  <c r="N502" i="15"/>
  <c r="O501" i="15"/>
  <c r="N501" i="15"/>
  <c r="O500" i="15"/>
  <c r="N500" i="15"/>
  <c r="O499" i="15"/>
  <c r="N499" i="15"/>
  <c r="O498" i="15"/>
  <c r="N498" i="15"/>
  <c r="O497" i="15"/>
  <c r="N497" i="15"/>
  <c r="O496" i="15"/>
  <c r="N496" i="15"/>
  <c r="O495" i="15"/>
  <c r="N495" i="15"/>
  <c r="O494" i="15"/>
  <c r="N494" i="15"/>
  <c r="O493" i="15"/>
  <c r="N493" i="15"/>
  <c r="O492" i="15"/>
  <c r="N492" i="15"/>
  <c r="O491" i="15"/>
  <c r="N491" i="15"/>
  <c r="O490" i="15"/>
  <c r="N490" i="15"/>
  <c r="O489" i="15"/>
  <c r="N489" i="15"/>
  <c r="O488" i="15"/>
  <c r="N488" i="15"/>
  <c r="O487" i="15"/>
  <c r="N487" i="15"/>
  <c r="O486" i="15"/>
  <c r="N486" i="15"/>
  <c r="O485" i="15"/>
  <c r="N485" i="15"/>
  <c r="O484" i="15"/>
  <c r="N484" i="15"/>
  <c r="O483" i="15"/>
  <c r="N483" i="15"/>
  <c r="O482" i="15"/>
  <c r="N482" i="15"/>
  <c r="O481" i="15"/>
  <c r="N481" i="15"/>
  <c r="O480" i="15"/>
  <c r="N480" i="15"/>
  <c r="O479" i="15"/>
  <c r="N479" i="15"/>
  <c r="O478" i="15"/>
  <c r="N478" i="15"/>
  <c r="O477" i="15"/>
  <c r="N477" i="15"/>
  <c r="O476" i="15"/>
  <c r="N476" i="15"/>
  <c r="O475" i="15"/>
  <c r="N475" i="15"/>
  <c r="O474" i="15"/>
  <c r="N474" i="15"/>
  <c r="O473" i="15"/>
  <c r="N473" i="15"/>
  <c r="O472" i="15"/>
  <c r="N472" i="15"/>
  <c r="O471" i="15"/>
  <c r="N471" i="15"/>
  <c r="O470" i="15"/>
  <c r="N470" i="15"/>
  <c r="O469" i="15"/>
  <c r="N469" i="15"/>
  <c r="O468" i="15"/>
  <c r="N468" i="15"/>
  <c r="O467" i="15"/>
  <c r="N467" i="15"/>
  <c r="O466" i="15"/>
  <c r="N466" i="15"/>
  <c r="O465" i="15"/>
  <c r="N465" i="15"/>
  <c r="O464" i="15"/>
  <c r="N464" i="15"/>
  <c r="O463" i="15"/>
  <c r="N463" i="15"/>
  <c r="O462" i="15"/>
  <c r="N462" i="15"/>
  <c r="O461" i="15"/>
  <c r="N461" i="15"/>
  <c r="O460" i="15"/>
  <c r="N460" i="15"/>
  <c r="O459" i="15"/>
  <c r="N459" i="15"/>
  <c r="O458" i="15"/>
  <c r="N458" i="15"/>
  <c r="O457" i="15"/>
  <c r="N457" i="15"/>
  <c r="O456" i="15"/>
  <c r="N456" i="15"/>
  <c r="O455" i="15"/>
  <c r="N455" i="15"/>
  <c r="O454" i="15"/>
  <c r="N454" i="15"/>
  <c r="O453" i="15"/>
  <c r="N453" i="15"/>
  <c r="O452" i="15"/>
  <c r="N452" i="15"/>
  <c r="O451" i="15"/>
  <c r="N451" i="15"/>
  <c r="O450" i="15"/>
  <c r="N450" i="15"/>
  <c r="O449" i="15"/>
  <c r="N449" i="15"/>
  <c r="O448" i="15"/>
  <c r="N448" i="15"/>
  <c r="O447" i="15"/>
  <c r="N447" i="15"/>
  <c r="O446" i="15"/>
  <c r="N446" i="15"/>
  <c r="O445" i="15"/>
  <c r="N445" i="15"/>
  <c r="O444" i="15"/>
  <c r="N444" i="15"/>
  <c r="O443" i="15"/>
  <c r="N443" i="15"/>
  <c r="O442" i="15"/>
  <c r="N442" i="15"/>
  <c r="O441" i="15"/>
  <c r="N441" i="15"/>
  <c r="O440" i="15"/>
  <c r="N440" i="15"/>
  <c r="O439" i="15"/>
  <c r="N439" i="15"/>
  <c r="O438" i="15"/>
  <c r="N438" i="15"/>
  <c r="O437" i="15"/>
  <c r="N437" i="15"/>
  <c r="O436" i="15"/>
  <c r="N436" i="15"/>
  <c r="O435" i="15"/>
  <c r="N435" i="15"/>
  <c r="O434" i="15"/>
  <c r="N434" i="15"/>
  <c r="O433" i="15"/>
  <c r="N433" i="15"/>
  <c r="O432" i="15"/>
  <c r="N432" i="15"/>
  <c r="O431" i="15"/>
  <c r="N431" i="15"/>
  <c r="F15" i="9" s="1"/>
  <c r="O430" i="15"/>
  <c r="N430" i="15"/>
  <c r="O429" i="15"/>
  <c r="N429" i="15"/>
  <c r="O428" i="15"/>
  <c r="N428" i="15"/>
  <c r="O427" i="15"/>
  <c r="N427" i="15"/>
  <c r="O426" i="15"/>
  <c r="N426" i="15"/>
  <c r="O425" i="15"/>
  <c r="N425" i="15"/>
  <c r="O424" i="15"/>
  <c r="N424" i="15"/>
  <c r="O423" i="15"/>
  <c r="N423" i="15"/>
  <c r="O422" i="15"/>
  <c r="N422" i="15"/>
  <c r="O421" i="15"/>
  <c r="N421" i="15"/>
  <c r="O420" i="15"/>
  <c r="N420" i="15"/>
  <c r="O419" i="15"/>
  <c r="N419" i="15"/>
  <c r="O418" i="15"/>
  <c r="N418" i="15"/>
  <c r="O417" i="15"/>
  <c r="N417" i="15"/>
  <c r="O416" i="15"/>
  <c r="N416" i="15"/>
  <c r="O415" i="15"/>
  <c r="N415" i="15"/>
  <c r="O414" i="15"/>
  <c r="N414" i="15"/>
  <c r="O413" i="15"/>
  <c r="N413" i="15"/>
  <c r="O412" i="15"/>
  <c r="N412" i="15"/>
  <c r="O411" i="15"/>
  <c r="N411" i="15"/>
  <c r="O410" i="15"/>
  <c r="N410" i="15"/>
  <c r="O409" i="15"/>
  <c r="N409" i="15"/>
  <c r="O408" i="15"/>
  <c r="N408" i="15"/>
  <c r="O407" i="15"/>
  <c r="N407" i="15"/>
  <c r="O406" i="15"/>
  <c r="N406" i="15"/>
  <c r="O405" i="15"/>
  <c r="N405" i="15"/>
  <c r="O404" i="15"/>
  <c r="N404" i="15"/>
  <c r="O403" i="15"/>
  <c r="N403" i="15"/>
  <c r="O402" i="15"/>
  <c r="N402" i="15"/>
  <c r="O401" i="15"/>
  <c r="N401" i="15"/>
  <c r="O400" i="15"/>
  <c r="N400" i="15"/>
  <c r="O399" i="15"/>
  <c r="N399" i="15"/>
  <c r="O398" i="15"/>
  <c r="N398" i="15"/>
  <c r="O397" i="15"/>
  <c r="N397" i="15"/>
  <c r="O396" i="15"/>
  <c r="N396" i="15"/>
  <c r="O395" i="15"/>
  <c r="N395" i="15"/>
  <c r="O394" i="15"/>
  <c r="N394" i="15"/>
  <c r="O393" i="15"/>
  <c r="N393" i="15"/>
  <c r="O392" i="15"/>
  <c r="N392" i="15"/>
  <c r="O391" i="15"/>
  <c r="N391" i="15"/>
  <c r="O390" i="15"/>
  <c r="N390" i="15"/>
  <c r="O389" i="15"/>
  <c r="N389" i="15"/>
  <c r="O388" i="15"/>
  <c r="N388" i="15"/>
  <c r="O387" i="15"/>
  <c r="N387" i="15"/>
  <c r="O386" i="15"/>
  <c r="N386" i="15"/>
  <c r="O385" i="15"/>
  <c r="N385" i="15"/>
  <c r="O384" i="15"/>
  <c r="N384" i="15"/>
  <c r="E15" i="9" s="1"/>
  <c r="O383" i="15"/>
  <c r="N383" i="15"/>
  <c r="O382" i="15"/>
  <c r="N382" i="15"/>
  <c r="O381" i="15"/>
  <c r="N381" i="15"/>
  <c r="O380" i="15"/>
  <c r="N380" i="15"/>
  <c r="O379" i="15"/>
  <c r="N379" i="15"/>
  <c r="O378" i="15"/>
  <c r="N378" i="15"/>
  <c r="O377" i="15"/>
  <c r="N377" i="15"/>
  <c r="O376" i="15"/>
  <c r="N376" i="15"/>
  <c r="O375" i="15"/>
  <c r="N375" i="15"/>
  <c r="O374" i="15"/>
  <c r="N374" i="15"/>
  <c r="O373" i="15"/>
  <c r="N373" i="15"/>
  <c r="O372" i="15"/>
  <c r="N372" i="15"/>
  <c r="O371" i="15"/>
  <c r="N371" i="15"/>
  <c r="O370" i="15"/>
  <c r="N370" i="15"/>
  <c r="O369" i="15"/>
  <c r="N369" i="15"/>
  <c r="O368" i="15"/>
  <c r="N368" i="15"/>
  <c r="O367" i="15"/>
  <c r="N367" i="15"/>
  <c r="O366" i="15"/>
  <c r="N366" i="15"/>
  <c r="O365" i="15"/>
  <c r="N365" i="15"/>
  <c r="O364" i="15"/>
  <c r="N364" i="15"/>
  <c r="O363" i="15"/>
  <c r="N363" i="15"/>
  <c r="O362" i="15"/>
  <c r="N362" i="15"/>
  <c r="O361" i="15"/>
  <c r="N361" i="15"/>
  <c r="O360" i="15"/>
  <c r="N360" i="15"/>
  <c r="O359" i="15"/>
  <c r="N359" i="15"/>
  <c r="O358" i="15"/>
  <c r="N358" i="15"/>
  <c r="O357" i="15"/>
  <c r="N357" i="15"/>
  <c r="O356" i="15"/>
  <c r="N356" i="15"/>
  <c r="O355" i="15"/>
  <c r="N355" i="15"/>
  <c r="O354" i="15"/>
  <c r="N354" i="15"/>
  <c r="O353" i="15"/>
  <c r="N353" i="15"/>
  <c r="O352" i="15"/>
  <c r="N352" i="15"/>
  <c r="O351" i="15"/>
  <c r="N351" i="15"/>
  <c r="O350" i="15"/>
  <c r="N350" i="15"/>
  <c r="O349" i="15"/>
  <c r="N349" i="15"/>
  <c r="O348" i="15"/>
  <c r="N348" i="15"/>
  <c r="O347" i="15"/>
  <c r="N347" i="15"/>
  <c r="O346" i="15"/>
  <c r="N346" i="15"/>
  <c r="O345" i="15"/>
  <c r="N345" i="15"/>
  <c r="O344" i="15"/>
  <c r="N344" i="15"/>
  <c r="O343" i="15"/>
  <c r="N343" i="15"/>
  <c r="O342" i="15"/>
  <c r="N342" i="15"/>
  <c r="O341" i="15"/>
  <c r="N341" i="15"/>
  <c r="O340" i="15"/>
  <c r="N340" i="15"/>
  <c r="O339" i="15"/>
  <c r="N339" i="15"/>
  <c r="O338" i="15"/>
  <c r="N338" i="15"/>
  <c r="O337" i="15"/>
  <c r="N337" i="15"/>
  <c r="O336" i="15"/>
  <c r="N336" i="15"/>
  <c r="O335" i="15"/>
  <c r="N335" i="15"/>
  <c r="O334" i="15"/>
  <c r="N334" i="15"/>
  <c r="O333" i="15"/>
  <c r="N333" i="15"/>
  <c r="O332" i="15"/>
  <c r="N332" i="15"/>
  <c r="O331" i="15"/>
  <c r="N331" i="15"/>
  <c r="O330" i="15"/>
  <c r="N330" i="15"/>
  <c r="O329" i="15"/>
  <c r="N329" i="15"/>
  <c r="O328" i="15"/>
  <c r="N328" i="15"/>
  <c r="O327" i="15"/>
  <c r="N327" i="15"/>
  <c r="O326" i="15"/>
  <c r="N326" i="15"/>
  <c r="O325" i="15"/>
  <c r="N325" i="15"/>
  <c r="O324" i="15"/>
  <c r="N324" i="15"/>
  <c r="O323" i="15"/>
  <c r="N323" i="15"/>
  <c r="O322" i="15"/>
  <c r="N322" i="15"/>
  <c r="O321" i="15"/>
  <c r="N321" i="15"/>
  <c r="O320" i="15"/>
  <c r="N320" i="15"/>
  <c r="O319" i="15"/>
  <c r="N319" i="15"/>
  <c r="O318" i="15"/>
  <c r="N318" i="15"/>
  <c r="O317" i="15"/>
  <c r="N317" i="15"/>
  <c r="O316" i="15"/>
  <c r="N316" i="15"/>
  <c r="O315" i="15"/>
  <c r="N315" i="15"/>
  <c r="O314" i="15"/>
  <c r="N314" i="15"/>
  <c r="O313" i="15"/>
  <c r="N313" i="15"/>
  <c r="O312" i="15"/>
  <c r="N312" i="15"/>
  <c r="O311" i="15"/>
  <c r="N311" i="15"/>
  <c r="O310" i="15"/>
  <c r="N310" i="15"/>
  <c r="O309" i="15"/>
  <c r="N309" i="15"/>
  <c r="O308" i="15"/>
  <c r="N308" i="15"/>
  <c r="O307" i="15"/>
  <c r="N307" i="15"/>
  <c r="O306" i="15"/>
  <c r="N306" i="15"/>
  <c r="O305" i="15"/>
  <c r="N305" i="15"/>
  <c r="O304" i="15"/>
  <c r="N304" i="15"/>
  <c r="O303" i="15"/>
  <c r="N303" i="15"/>
  <c r="O302" i="15"/>
  <c r="N302" i="15"/>
  <c r="O301" i="15"/>
  <c r="N301" i="15"/>
  <c r="O300" i="15"/>
  <c r="N300" i="15"/>
  <c r="O299" i="15"/>
  <c r="N299" i="15"/>
  <c r="O298" i="15"/>
  <c r="N298" i="15"/>
  <c r="O297" i="15"/>
  <c r="N297" i="15"/>
  <c r="O296" i="15"/>
  <c r="N296" i="15"/>
  <c r="O295" i="15"/>
  <c r="N295" i="15"/>
  <c r="O294" i="15"/>
  <c r="N294" i="15"/>
  <c r="O293" i="15"/>
  <c r="N293" i="15"/>
  <c r="O292" i="15"/>
  <c r="N292" i="15"/>
  <c r="O291" i="15"/>
  <c r="N291" i="15"/>
  <c r="O290" i="15"/>
  <c r="N290" i="15"/>
  <c r="O289" i="15"/>
  <c r="N289" i="15"/>
  <c r="O288" i="15"/>
  <c r="N288" i="15"/>
  <c r="O287" i="15"/>
  <c r="N287" i="15"/>
  <c r="O286" i="15"/>
  <c r="N286" i="15"/>
  <c r="O285" i="15"/>
  <c r="N285" i="15"/>
  <c r="O284" i="15"/>
  <c r="N284" i="15"/>
  <c r="O283" i="15"/>
  <c r="N283" i="15"/>
  <c r="O282" i="15"/>
  <c r="N282" i="15"/>
  <c r="O281" i="15"/>
  <c r="N281" i="15"/>
  <c r="O280" i="15"/>
  <c r="N280" i="15"/>
  <c r="O279" i="15"/>
  <c r="N279" i="15"/>
  <c r="O278" i="15"/>
  <c r="N278" i="15"/>
  <c r="O277" i="15"/>
  <c r="N277" i="15"/>
  <c r="O276" i="15"/>
  <c r="N276" i="15"/>
  <c r="O275" i="15"/>
  <c r="N275" i="15"/>
  <c r="O274" i="15"/>
  <c r="N274" i="15"/>
  <c r="O273" i="15"/>
  <c r="N273" i="15"/>
  <c r="O272" i="15"/>
  <c r="N272" i="15"/>
  <c r="O271" i="15"/>
  <c r="N271" i="15"/>
  <c r="O270" i="15"/>
  <c r="N270" i="15"/>
  <c r="O269" i="15"/>
  <c r="N269" i="15"/>
  <c r="O268" i="15"/>
  <c r="N268" i="15"/>
  <c r="O267" i="15"/>
  <c r="N267" i="15"/>
  <c r="O266" i="15"/>
  <c r="N266" i="15"/>
  <c r="O265" i="15"/>
  <c r="N265" i="15"/>
  <c r="O264" i="15"/>
  <c r="N264" i="15"/>
  <c r="O263" i="15"/>
  <c r="N263" i="15"/>
  <c r="O262" i="15"/>
  <c r="N262" i="15"/>
  <c r="O261" i="15"/>
  <c r="N261" i="15"/>
  <c r="O260" i="15"/>
  <c r="N260" i="15"/>
  <c r="O259" i="15"/>
  <c r="N259" i="15"/>
  <c r="O258" i="15"/>
  <c r="N258" i="15"/>
  <c r="O257" i="15"/>
  <c r="N257" i="15"/>
  <c r="O256" i="15"/>
  <c r="N256" i="15"/>
  <c r="O255" i="15"/>
  <c r="N255" i="15"/>
  <c r="O254" i="15"/>
  <c r="N254" i="15"/>
  <c r="O253" i="15"/>
  <c r="N253" i="15"/>
  <c r="O252" i="15"/>
  <c r="N252" i="15"/>
  <c r="O251" i="15"/>
  <c r="N251" i="15"/>
  <c r="O250" i="15"/>
  <c r="N250" i="15"/>
  <c r="O249" i="15"/>
  <c r="N249" i="15"/>
  <c r="O248" i="15"/>
  <c r="N248" i="15"/>
  <c r="O247" i="15"/>
  <c r="N247" i="15"/>
  <c r="O246" i="15"/>
  <c r="N246" i="15"/>
  <c r="O245" i="15"/>
  <c r="N245" i="15"/>
  <c r="O244" i="15"/>
  <c r="N244" i="15"/>
  <c r="O243" i="15"/>
  <c r="N243" i="15"/>
  <c r="O242" i="15"/>
  <c r="N242" i="15"/>
  <c r="O241" i="15"/>
  <c r="N241" i="15"/>
  <c r="O240" i="15"/>
  <c r="N240" i="15"/>
  <c r="O239" i="15"/>
  <c r="N239" i="15"/>
  <c r="O238" i="15"/>
  <c r="N238" i="15"/>
  <c r="O237" i="15"/>
  <c r="N237" i="15"/>
  <c r="O236" i="15"/>
  <c r="N236" i="15"/>
  <c r="O235" i="15"/>
  <c r="N235" i="15"/>
  <c r="O234" i="15"/>
  <c r="N234" i="15"/>
  <c r="O233" i="15"/>
  <c r="N233" i="15"/>
  <c r="O232" i="15"/>
  <c r="N232" i="15"/>
  <c r="O231" i="15"/>
  <c r="N231" i="15"/>
  <c r="O230" i="15"/>
  <c r="N230" i="15"/>
  <c r="O229" i="15"/>
  <c r="N229" i="15"/>
  <c r="O228" i="15"/>
  <c r="N228" i="15"/>
  <c r="O227" i="15"/>
  <c r="N227" i="15"/>
  <c r="O226" i="15"/>
  <c r="N226" i="15"/>
  <c r="O225" i="15"/>
  <c r="N225" i="15"/>
  <c r="O224" i="15"/>
  <c r="N224" i="15"/>
  <c r="O223" i="15"/>
  <c r="N223" i="15"/>
  <c r="O222" i="15"/>
  <c r="N222" i="15"/>
  <c r="O221" i="15"/>
  <c r="N221" i="15"/>
  <c r="O220" i="15"/>
  <c r="N220" i="15"/>
  <c r="O219" i="15"/>
  <c r="N219" i="15"/>
  <c r="O218" i="15"/>
  <c r="N218" i="15"/>
  <c r="O217" i="15"/>
  <c r="N217" i="15"/>
  <c r="O216" i="15"/>
  <c r="N216" i="15"/>
  <c r="O215" i="15"/>
  <c r="N215" i="15"/>
  <c r="O214" i="15"/>
  <c r="N214" i="15"/>
  <c r="O213" i="15"/>
  <c r="N213" i="15"/>
  <c r="O212" i="15"/>
  <c r="N212" i="15"/>
  <c r="O211" i="15"/>
  <c r="N211" i="15"/>
  <c r="O210" i="15"/>
  <c r="N210" i="15"/>
  <c r="O209" i="15"/>
  <c r="N209" i="15"/>
  <c r="O208" i="15"/>
  <c r="N208" i="15"/>
  <c r="O207" i="15"/>
  <c r="N207" i="15"/>
  <c r="O206" i="15"/>
  <c r="N206" i="15"/>
  <c r="O205" i="15"/>
  <c r="N205" i="15"/>
  <c r="O204" i="15"/>
  <c r="N204" i="15"/>
  <c r="O203" i="15"/>
  <c r="N203" i="15"/>
  <c r="O202" i="15"/>
  <c r="N202" i="15"/>
  <c r="O201" i="15"/>
  <c r="N201" i="15"/>
  <c r="O200" i="15"/>
  <c r="N200" i="15"/>
  <c r="O199" i="15"/>
  <c r="N199" i="15"/>
  <c r="O198" i="15"/>
  <c r="N198" i="15"/>
  <c r="O197" i="15"/>
  <c r="N197" i="15"/>
  <c r="O196" i="15"/>
  <c r="N196" i="15"/>
  <c r="O195" i="15"/>
  <c r="N195" i="15"/>
  <c r="O194" i="15"/>
  <c r="N194" i="15"/>
  <c r="O193" i="15"/>
  <c r="N193" i="15"/>
  <c r="O192" i="15"/>
  <c r="N192" i="15"/>
  <c r="O191" i="15"/>
  <c r="N191" i="15"/>
  <c r="O190" i="15"/>
  <c r="N190" i="15"/>
  <c r="O189" i="15"/>
  <c r="N189" i="15"/>
  <c r="O188" i="15"/>
  <c r="N188" i="15"/>
  <c r="O187" i="15"/>
  <c r="N187" i="15"/>
  <c r="O186" i="15"/>
  <c r="N186" i="15"/>
  <c r="O185" i="15"/>
  <c r="N185" i="15"/>
  <c r="O184" i="15"/>
  <c r="N184" i="15"/>
  <c r="O183" i="15"/>
  <c r="N183" i="15"/>
  <c r="O182" i="15"/>
  <c r="N182" i="15"/>
  <c r="O181" i="15"/>
  <c r="N181" i="15"/>
  <c r="O180" i="15"/>
  <c r="N180" i="15"/>
  <c r="O179" i="15"/>
  <c r="N179" i="15"/>
  <c r="O178" i="15"/>
  <c r="N178" i="15"/>
  <c r="O177" i="15"/>
  <c r="N177" i="15"/>
  <c r="O176" i="15"/>
  <c r="N176" i="15"/>
  <c r="O175" i="15"/>
  <c r="N175" i="15"/>
  <c r="O174" i="15"/>
  <c r="N174" i="15"/>
  <c r="O173" i="15"/>
  <c r="N173" i="15"/>
  <c r="O172" i="15"/>
  <c r="N172" i="15"/>
  <c r="O171" i="15"/>
  <c r="N171" i="15"/>
  <c r="O170" i="15"/>
  <c r="N170" i="15"/>
  <c r="O169" i="15"/>
  <c r="N169" i="15"/>
  <c r="O168" i="15"/>
  <c r="N168" i="15"/>
  <c r="O167" i="15"/>
  <c r="N167" i="15"/>
  <c r="O166" i="15"/>
  <c r="N166" i="15"/>
  <c r="O165" i="15"/>
  <c r="N165" i="15"/>
  <c r="O164" i="15"/>
  <c r="N164" i="15"/>
  <c r="O163" i="15"/>
  <c r="N163" i="15"/>
  <c r="O162" i="15"/>
  <c r="N162" i="15"/>
  <c r="O161" i="15"/>
  <c r="N161" i="15"/>
  <c r="O160" i="15"/>
  <c r="N160" i="15"/>
  <c r="O159" i="15"/>
  <c r="N159" i="15"/>
  <c r="O158" i="15"/>
  <c r="N158" i="15"/>
  <c r="O157" i="15"/>
  <c r="N157" i="15"/>
  <c r="O156" i="15"/>
  <c r="N156" i="15"/>
  <c r="O155" i="15"/>
  <c r="N155" i="15"/>
  <c r="O154" i="15"/>
  <c r="N154" i="15"/>
  <c r="O153" i="15"/>
  <c r="N153" i="15"/>
  <c r="O152" i="15"/>
  <c r="N152" i="15"/>
  <c r="O151" i="15"/>
  <c r="N151" i="15"/>
  <c r="O150" i="15"/>
  <c r="N150" i="15"/>
  <c r="O149" i="15"/>
  <c r="N149" i="15"/>
  <c r="O148" i="15"/>
  <c r="N148" i="15"/>
  <c r="O147" i="15"/>
  <c r="N147" i="15"/>
  <c r="O146" i="15"/>
  <c r="N146" i="15"/>
  <c r="O145" i="15"/>
  <c r="N145" i="15"/>
  <c r="O144" i="15"/>
  <c r="N144" i="15"/>
  <c r="O143" i="15"/>
  <c r="N143" i="15"/>
  <c r="O142" i="15"/>
  <c r="N142" i="15"/>
  <c r="O141" i="15"/>
  <c r="N141" i="15"/>
  <c r="O140" i="15"/>
  <c r="N140" i="15"/>
  <c r="O139" i="15"/>
  <c r="N139" i="15"/>
  <c r="O138" i="15"/>
  <c r="N138" i="15"/>
  <c r="O137" i="15"/>
  <c r="N137" i="15"/>
  <c r="O136" i="15"/>
  <c r="N136" i="15"/>
  <c r="O135" i="15"/>
  <c r="N135" i="15"/>
  <c r="O134" i="15"/>
  <c r="N134" i="15"/>
  <c r="O133" i="15"/>
  <c r="N133" i="15"/>
  <c r="O132" i="15"/>
  <c r="N132" i="15"/>
  <c r="O131" i="15"/>
  <c r="N131" i="15"/>
  <c r="O130" i="15"/>
  <c r="N130" i="15"/>
  <c r="O129" i="15"/>
  <c r="N129" i="15"/>
  <c r="O128" i="15"/>
  <c r="N128" i="15"/>
  <c r="O127" i="15"/>
  <c r="N127" i="15"/>
  <c r="O126" i="15"/>
  <c r="N126" i="15"/>
  <c r="O125" i="15"/>
  <c r="N125" i="15"/>
  <c r="O124" i="15"/>
  <c r="N124" i="15"/>
  <c r="O123" i="15"/>
  <c r="N123" i="15"/>
  <c r="O122" i="15"/>
  <c r="N122" i="15"/>
  <c r="O121" i="15"/>
  <c r="N121" i="15"/>
  <c r="O120" i="15"/>
  <c r="N120" i="15"/>
  <c r="O119" i="15"/>
  <c r="N119" i="15"/>
  <c r="O118" i="15"/>
  <c r="N118" i="15"/>
  <c r="O117" i="15"/>
  <c r="N117" i="15"/>
  <c r="O116" i="15"/>
  <c r="N116" i="15"/>
  <c r="O115" i="15"/>
  <c r="N115" i="15"/>
  <c r="O114" i="15"/>
  <c r="N114" i="15"/>
  <c r="O113" i="15"/>
  <c r="N113" i="15"/>
  <c r="O112" i="15"/>
  <c r="N112" i="15"/>
  <c r="O111" i="15"/>
  <c r="N111" i="15"/>
  <c r="O110" i="15"/>
  <c r="N110" i="15"/>
  <c r="O109" i="15"/>
  <c r="N109" i="15"/>
  <c r="O108" i="15"/>
  <c r="N108" i="15"/>
  <c r="O107" i="15"/>
  <c r="N107" i="15"/>
  <c r="O106" i="15"/>
  <c r="N106" i="15"/>
  <c r="O105" i="15"/>
  <c r="N105" i="15"/>
  <c r="O104" i="15"/>
  <c r="N104" i="15"/>
  <c r="O103" i="15"/>
  <c r="N103" i="15"/>
  <c r="O102" i="15"/>
  <c r="N102" i="15"/>
  <c r="O101" i="15"/>
  <c r="N101" i="15"/>
  <c r="O100" i="15"/>
  <c r="N100" i="15"/>
  <c r="O99" i="15"/>
  <c r="N99" i="15"/>
  <c r="O98" i="15"/>
  <c r="N98" i="15"/>
  <c r="O97" i="15"/>
  <c r="N97" i="15"/>
  <c r="O96" i="15"/>
  <c r="N96" i="15"/>
  <c r="O95" i="15"/>
  <c r="N95" i="15"/>
  <c r="O94" i="15"/>
  <c r="N94" i="15"/>
  <c r="O93" i="15"/>
  <c r="N93" i="15"/>
  <c r="O92" i="15"/>
  <c r="N92" i="15"/>
  <c r="O91" i="15"/>
  <c r="N91" i="15"/>
  <c r="O90" i="15"/>
  <c r="N90" i="15"/>
  <c r="O89" i="15"/>
  <c r="N89" i="15"/>
  <c r="O88" i="15"/>
  <c r="N88" i="15"/>
  <c r="O87" i="15"/>
  <c r="N87" i="15"/>
  <c r="O86" i="15"/>
  <c r="N86" i="15"/>
  <c r="O85" i="15"/>
  <c r="N85" i="15"/>
  <c r="O84" i="15"/>
  <c r="N84" i="15"/>
  <c r="O83" i="15"/>
  <c r="N83" i="15"/>
  <c r="O82" i="15"/>
  <c r="N82" i="15"/>
  <c r="O81" i="15"/>
  <c r="N81" i="15"/>
  <c r="O80" i="15"/>
  <c r="N80" i="15"/>
  <c r="O79" i="15"/>
  <c r="N79" i="15"/>
  <c r="O78" i="15"/>
  <c r="N78" i="15"/>
  <c r="O77" i="15"/>
  <c r="N77" i="15"/>
  <c r="O76" i="15"/>
  <c r="N76" i="15"/>
  <c r="O75" i="15"/>
  <c r="N75" i="15"/>
  <c r="O74" i="15"/>
  <c r="N74" i="15"/>
  <c r="O73" i="15"/>
  <c r="N73" i="15"/>
  <c r="O72" i="15"/>
  <c r="N72" i="15"/>
  <c r="O71" i="15"/>
  <c r="N71" i="15"/>
  <c r="O70" i="15"/>
  <c r="N70" i="15"/>
  <c r="O69" i="15"/>
  <c r="N69" i="15"/>
  <c r="O68" i="15"/>
  <c r="N68" i="15"/>
  <c r="O67" i="15"/>
  <c r="N67" i="15"/>
  <c r="O66" i="15"/>
  <c r="N66" i="15"/>
  <c r="O65" i="15"/>
  <c r="N65" i="15"/>
  <c r="O64" i="15"/>
  <c r="N64" i="15"/>
  <c r="O63" i="15"/>
  <c r="N63" i="15"/>
  <c r="O62" i="15"/>
  <c r="N62" i="15"/>
  <c r="O61" i="15"/>
  <c r="N61" i="15"/>
  <c r="O60" i="15"/>
  <c r="N60" i="15"/>
  <c r="O59" i="15"/>
  <c r="N59" i="15"/>
  <c r="O58" i="15"/>
  <c r="N58" i="15"/>
  <c r="O57" i="15"/>
  <c r="N57" i="15"/>
  <c r="O56" i="15"/>
  <c r="N56" i="15"/>
  <c r="O55" i="15"/>
  <c r="N55" i="15"/>
  <c r="O54" i="15"/>
  <c r="N54" i="15"/>
  <c r="O53" i="15"/>
  <c r="N53" i="15"/>
  <c r="O52" i="15"/>
  <c r="N52" i="15"/>
  <c r="O51" i="15"/>
  <c r="N51" i="15"/>
  <c r="O50" i="15"/>
  <c r="N50" i="15"/>
  <c r="O49" i="15"/>
  <c r="N49" i="15"/>
  <c r="O48" i="15"/>
  <c r="N48" i="15"/>
  <c r="O47" i="15"/>
  <c r="N47" i="15"/>
  <c r="O46" i="15"/>
  <c r="N46" i="15"/>
  <c r="O45" i="15"/>
  <c r="N45" i="15"/>
  <c r="O44" i="15"/>
  <c r="N44" i="15"/>
  <c r="O43" i="15"/>
  <c r="N43" i="15"/>
  <c r="O42" i="15"/>
  <c r="N42" i="15"/>
  <c r="O41" i="15"/>
  <c r="N41" i="15"/>
  <c r="O40" i="15"/>
  <c r="N40" i="15"/>
  <c r="O39" i="15"/>
  <c r="N39" i="15"/>
  <c r="O38" i="15"/>
  <c r="N38" i="15"/>
  <c r="O37" i="15"/>
  <c r="N37" i="15"/>
  <c r="O36" i="15"/>
  <c r="N36" i="15"/>
  <c r="O35" i="15"/>
  <c r="N35" i="15"/>
  <c r="O34" i="15"/>
  <c r="N34" i="15"/>
  <c r="O33" i="15"/>
  <c r="N33" i="15"/>
  <c r="O32" i="15"/>
  <c r="N32" i="15"/>
  <c r="O31" i="15"/>
  <c r="N31" i="15"/>
  <c r="O30" i="15"/>
  <c r="N30" i="15"/>
  <c r="O29" i="15"/>
  <c r="N29" i="15"/>
  <c r="O28" i="15"/>
  <c r="N28" i="15"/>
  <c r="O27" i="15"/>
  <c r="N27" i="15"/>
  <c r="O26" i="15"/>
  <c r="N26" i="15"/>
  <c r="O25" i="15"/>
  <c r="N25" i="15"/>
  <c r="O24" i="15"/>
  <c r="N24" i="15"/>
  <c r="O23" i="15"/>
  <c r="N23" i="15"/>
  <c r="O22" i="15"/>
  <c r="N22" i="15"/>
  <c r="O21" i="15"/>
  <c r="N21" i="15"/>
  <c r="O20" i="15"/>
  <c r="N20" i="15"/>
  <c r="O19" i="15"/>
  <c r="N19" i="15"/>
  <c r="O18" i="15"/>
  <c r="N18" i="15"/>
  <c r="O17" i="15"/>
  <c r="N17" i="15"/>
  <c r="O16" i="15"/>
  <c r="N16" i="15"/>
  <c r="O15" i="15"/>
  <c r="N15" i="15"/>
  <c r="O14" i="15"/>
  <c r="N14" i="15"/>
  <c r="O13" i="15"/>
  <c r="N13" i="15"/>
  <c r="O12" i="15"/>
  <c r="N12" i="15"/>
  <c r="O11" i="15"/>
  <c r="N11" i="15"/>
  <c r="O10" i="15"/>
  <c r="N10" i="15"/>
  <c r="O9" i="15"/>
  <c r="N9" i="15"/>
  <c r="O8" i="15"/>
  <c r="N8" i="15"/>
  <c r="O7" i="15"/>
  <c r="N7" i="15"/>
  <c r="O6" i="15"/>
  <c r="N6" i="15"/>
  <c r="O5" i="15"/>
  <c r="N5" i="15"/>
  <c r="O4" i="15"/>
  <c r="N4" i="15"/>
  <c r="O3" i="15"/>
  <c r="N3" i="15"/>
  <c r="O2" i="15"/>
  <c r="N2" i="15"/>
  <c r="I21" i="14"/>
  <c r="H21" i="14"/>
  <c r="G21" i="14"/>
  <c r="I20" i="14"/>
  <c r="H20" i="14"/>
  <c r="G20" i="14"/>
  <c r="I19" i="14"/>
  <c r="H19" i="14"/>
  <c r="G19" i="14"/>
  <c r="I18" i="14"/>
  <c r="H18" i="14"/>
  <c r="G18" i="14"/>
  <c r="I17" i="14"/>
  <c r="H17" i="14"/>
  <c r="G17" i="14"/>
  <c r="I16" i="14"/>
  <c r="H16" i="14"/>
  <c r="G16" i="14"/>
  <c r="I15" i="14"/>
  <c r="H15" i="14"/>
  <c r="G15" i="14"/>
  <c r="I14" i="14"/>
  <c r="H14" i="14"/>
  <c r="G14" i="14"/>
  <c r="I13" i="14"/>
  <c r="H13" i="14"/>
  <c r="G13" i="14"/>
  <c r="I12" i="14"/>
  <c r="H12" i="14"/>
  <c r="G12" i="14"/>
  <c r="I11" i="14"/>
  <c r="H11" i="14"/>
  <c r="G11" i="14"/>
  <c r="D15" i="9"/>
  <c r="C15" i="9"/>
  <c r="B15" i="9"/>
  <c r="F14" i="9"/>
  <c r="E14" i="9"/>
  <c r="D14" i="9"/>
  <c r="C14" i="9"/>
  <c r="B14" i="9"/>
  <c r="F13" i="9"/>
  <c r="E13" i="9"/>
  <c r="D13" i="9"/>
  <c r="C13" i="9"/>
  <c r="B13" i="9"/>
  <c r="F12" i="9"/>
  <c r="E12" i="9"/>
  <c r="D12" i="9"/>
  <c r="C12" i="9"/>
  <c r="B12" i="9"/>
  <c r="F11" i="9"/>
  <c r="E11" i="9"/>
  <c r="D11" i="9"/>
  <c r="C11" i="9"/>
  <c r="B11" i="9"/>
  <c r="F10" i="9"/>
  <c r="E10" i="9"/>
  <c r="D10" i="9"/>
  <c r="C10" i="9"/>
  <c r="B10" i="9"/>
  <c r="F9" i="9"/>
  <c r="E9" i="9"/>
  <c r="D9" i="9"/>
  <c r="C9" i="9"/>
  <c r="B9" i="9"/>
  <c r="F8" i="9"/>
  <c r="E8" i="9"/>
  <c r="D8" i="9"/>
  <c r="C8" i="9"/>
  <c r="B8" i="9"/>
  <c r="F7" i="9"/>
  <c r="E7" i="9"/>
  <c r="D7" i="9"/>
  <c r="C7" i="9"/>
  <c r="B7" i="9"/>
  <c r="F6" i="9"/>
  <c r="E6" i="9"/>
  <c r="D6" i="9"/>
  <c r="C6" i="9"/>
  <c r="B6" i="9"/>
  <c r="F28" i="7"/>
  <c r="E28" i="7"/>
  <c r="D28" i="7"/>
  <c r="C28" i="7"/>
  <c r="B28" i="7"/>
  <c r="F27" i="7"/>
  <c r="E27" i="7"/>
  <c r="D27" i="7"/>
  <c r="C27" i="7"/>
  <c r="B27" i="7"/>
  <c r="F26" i="7"/>
  <c r="E26" i="7"/>
  <c r="D26" i="7"/>
  <c r="C26" i="7"/>
  <c r="B26" i="7"/>
  <c r="F25" i="7"/>
  <c r="E25" i="7"/>
  <c r="D25" i="7"/>
  <c r="C25" i="7"/>
  <c r="B25" i="7"/>
  <c r="F24" i="7"/>
  <c r="E24" i="7"/>
  <c r="D24" i="7"/>
  <c r="C24" i="7"/>
  <c r="B24" i="7"/>
  <c r="F23" i="7"/>
  <c r="E23" i="7"/>
  <c r="D23" i="7"/>
  <c r="C23" i="7"/>
  <c r="B23" i="7"/>
  <c r="F22" i="7"/>
  <c r="E22" i="7"/>
  <c r="D22" i="7"/>
  <c r="C22" i="7"/>
  <c r="B22" i="7"/>
  <c r="F21" i="7"/>
  <c r="E21" i="7"/>
  <c r="D21" i="7"/>
  <c r="C21" i="7"/>
  <c r="B21" i="7"/>
  <c r="F20" i="7"/>
  <c r="E20" i="7"/>
  <c r="D20" i="7"/>
  <c r="C20" i="7"/>
  <c r="B20" i="7"/>
  <c r="F19" i="7"/>
  <c r="E19" i="7"/>
  <c r="D19" i="7"/>
  <c r="C19" i="7"/>
  <c r="B19" i="7"/>
  <c r="F18" i="7"/>
  <c r="E18" i="7"/>
  <c r="D18" i="7"/>
  <c r="C18" i="7"/>
  <c r="B18" i="7"/>
  <c r="F8" i="7"/>
  <c r="E8" i="7"/>
  <c r="D8" i="7"/>
  <c r="C8" i="7"/>
  <c r="B8" i="7"/>
  <c r="F7" i="7"/>
  <c r="E7" i="7"/>
  <c r="D7" i="7"/>
  <c r="C7" i="7"/>
  <c r="B7" i="7"/>
  <c r="F6" i="7"/>
  <c r="E6" i="7"/>
  <c r="D6" i="7"/>
  <c r="C6" i="7"/>
  <c r="B6" i="7"/>
  <c r="I28" i="6"/>
  <c r="F28" i="6"/>
  <c r="E28" i="6"/>
  <c r="D28" i="6"/>
  <c r="C28" i="6"/>
  <c r="B28" i="6"/>
  <c r="G28" i="6" s="1"/>
  <c r="I27" i="6"/>
  <c r="F27" i="6"/>
  <c r="E27" i="6"/>
  <c r="D27" i="6"/>
  <c r="C27" i="6"/>
  <c r="B27" i="6"/>
  <c r="I26" i="6"/>
  <c r="F26" i="6"/>
  <c r="E26" i="6"/>
  <c r="D26" i="6"/>
  <c r="C26" i="6"/>
  <c r="B26" i="6"/>
  <c r="G26" i="6" s="1"/>
  <c r="I25" i="6"/>
  <c r="F25" i="6"/>
  <c r="E25" i="6"/>
  <c r="D25" i="6"/>
  <c r="C25" i="6"/>
  <c r="B25" i="6"/>
  <c r="I24" i="6"/>
  <c r="F24" i="6"/>
  <c r="E24" i="6"/>
  <c r="D24" i="6"/>
  <c r="C24" i="6"/>
  <c r="B24" i="6"/>
  <c r="G24" i="6" s="1"/>
  <c r="I23" i="6"/>
  <c r="F23" i="6"/>
  <c r="E23" i="6"/>
  <c r="D23" i="6"/>
  <c r="C23" i="6"/>
  <c r="B23" i="6"/>
  <c r="G23" i="6" s="1"/>
  <c r="I22" i="6"/>
  <c r="F22" i="6"/>
  <c r="E22" i="6"/>
  <c r="D22" i="6"/>
  <c r="C22" i="6"/>
  <c r="B22" i="6"/>
  <c r="I21" i="6"/>
  <c r="F21" i="6"/>
  <c r="E21" i="6"/>
  <c r="D21" i="6"/>
  <c r="C21" i="6"/>
  <c r="B21" i="6"/>
  <c r="I20" i="6"/>
  <c r="F20" i="6"/>
  <c r="E20" i="6"/>
  <c r="D20" i="6"/>
  <c r="C20" i="6"/>
  <c r="B20" i="6"/>
  <c r="G20" i="6" s="1"/>
  <c r="I19" i="6"/>
  <c r="I29" i="6" s="1"/>
  <c r="F19" i="6"/>
  <c r="F29" i="6" s="1"/>
  <c r="E19" i="6"/>
  <c r="E29" i="6" s="1"/>
  <c r="D19" i="6"/>
  <c r="D29" i="6" s="1"/>
  <c r="C19" i="6"/>
  <c r="C29" i="6" s="1"/>
  <c r="B19" i="6"/>
  <c r="F31" i="3"/>
  <c r="E31" i="3"/>
  <c r="D31" i="3"/>
  <c r="C31" i="3"/>
  <c r="B31" i="3"/>
  <c r="F30" i="3"/>
  <c r="E30" i="3"/>
  <c r="D30" i="3"/>
  <c r="C30" i="3"/>
  <c r="B30" i="3"/>
  <c r="F29" i="3"/>
  <c r="E29" i="3"/>
  <c r="D29" i="3"/>
  <c r="C29" i="3"/>
  <c r="B29" i="3"/>
  <c r="F28" i="3"/>
  <c r="E28" i="3"/>
  <c r="D28" i="3"/>
  <c r="C28" i="3"/>
  <c r="B28" i="3"/>
  <c r="F27" i="3"/>
  <c r="E27" i="3"/>
  <c r="D27" i="3"/>
  <c r="C27" i="3"/>
  <c r="B27" i="3"/>
  <c r="F25" i="3"/>
  <c r="E25" i="3"/>
  <c r="D25" i="3"/>
  <c r="C25" i="3"/>
  <c r="B25" i="3"/>
  <c r="F20" i="3"/>
  <c r="E20" i="3"/>
  <c r="D20" i="3"/>
  <c r="C20" i="3"/>
  <c r="B20" i="3"/>
  <c r="F19" i="3"/>
  <c r="E19" i="3"/>
  <c r="D19" i="3"/>
  <c r="C19" i="3"/>
  <c r="B19" i="3"/>
  <c r="F18" i="3"/>
  <c r="E18" i="3"/>
  <c r="D18" i="3"/>
  <c r="C18" i="3"/>
  <c r="B18" i="3"/>
  <c r="F17" i="3"/>
  <c r="E17" i="3"/>
  <c r="D17" i="3"/>
  <c r="C17" i="3"/>
  <c r="B17" i="3"/>
  <c r="F15" i="3"/>
  <c r="E15" i="3"/>
  <c r="D15" i="3"/>
  <c r="C15" i="3"/>
  <c r="B15" i="3"/>
  <c r="F14" i="3"/>
  <c r="E14" i="3"/>
  <c r="D14" i="3"/>
  <c r="C14" i="3"/>
  <c r="B14" i="3"/>
  <c r="F12" i="3"/>
  <c r="E12" i="3"/>
  <c r="D12" i="3"/>
  <c r="C12" i="3"/>
  <c r="B12" i="3"/>
  <c r="F11" i="3"/>
  <c r="E11" i="3"/>
  <c r="D11" i="3"/>
  <c r="C11" i="3"/>
  <c r="B11" i="3"/>
  <c r="F59" i="2"/>
  <c r="E59" i="2"/>
  <c r="D59" i="2"/>
  <c r="C59" i="2"/>
  <c r="B59" i="2"/>
  <c r="F58" i="2"/>
  <c r="E58" i="2"/>
  <c r="D58" i="2"/>
  <c r="C58" i="2"/>
  <c r="B58" i="2"/>
  <c r="F57" i="2"/>
  <c r="E57" i="2"/>
  <c r="D57" i="2"/>
  <c r="C57" i="2"/>
  <c r="B57" i="2"/>
  <c r="F56" i="2"/>
  <c r="E56" i="2"/>
  <c r="D56" i="2"/>
  <c r="C56" i="2"/>
  <c r="B56" i="2"/>
  <c r="F55" i="2"/>
  <c r="E55" i="2"/>
  <c r="D55" i="2"/>
  <c r="C55" i="2"/>
  <c r="B55" i="2"/>
  <c r="F54" i="2"/>
  <c r="E54" i="2"/>
  <c r="D54" i="2"/>
  <c r="C54" i="2"/>
  <c r="B54" i="2"/>
  <c r="F53" i="2"/>
  <c r="E53" i="2"/>
  <c r="D53" i="2"/>
  <c r="C53" i="2"/>
  <c r="B53" i="2"/>
  <c r="F52" i="2"/>
  <c r="E52" i="2"/>
  <c r="D52" i="2"/>
  <c r="C52" i="2"/>
  <c r="B52" i="2"/>
  <c r="F51" i="2"/>
  <c r="E51" i="2"/>
  <c r="D51" i="2"/>
  <c r="C51" i="2"/>
  <c r="B51" i="2"/>
  <c r="C47" i="2"/>
  <c r="B47" i="2"/>
  <c r="C46" i="2"/>
  <c r="B46" i="2"/>
  <c r="C45" i="2"/>
  <c r="B45" i="2"/>
  <c r="C44" i="2"/>
  <c r="B44" i="2"/>
  <c r="C43" i="2"/>
  <c r="B43" i="2"/>
  <c r="C42" i="2"/>
  <c r="B42" i="2"/>
  <c r="C41" i="2"/>
  <c r="B41" i="2"/>
  <c r="F37" i="2"/>
  <c r="E37" i="2"/>
  <c r="D37" i="2"/>
  <c r="C37" i="2"/>
  <c r="B37" i="2"/>
  <c r="F36" i="2"/>
  <c r="E36" i="2"/>
  <c r="D36" i="2"/>
  <c r="B36" i="2"/>
  <c r="C36" i="2" s="1"/>
  <c r="F35" i="2"/>
  <c r="E35" i="2"/>
  <c r="D35" i="2"/>
  <c r="B35" i="2"/>
  <c r="C35" i="2" s="1"/>
  <c r="F34" i="2"/>
  <c r="E34" i="2"/>
  <c r="D34" i="2"/>
  <c r="B34" i="2"/>
  <c r="C34" i="2" s="1"/>
  <c r="F33" i="2"/>
  <c r="E33" i="2"/>
  <c r="D33" i="2"/>
  <c r="B33" i="2"/>
  <c r="C33" i="2" s="1"/>
  <c r="F32" i="2"/>
  <c r="E32" i="2"/>
  <c r="D32" i="2"/>
  <c r="B32" i="2"/>
  <c r="C32" i="2" s="1"/>
  <c r="F31" i="2"/>
  <c r="E31" i="2"/>
  <c r="D31" i="2"/>
  <c r="B31" i="2"/>
  <c r="C31" i="2" s="1"/>
  <c r="F30" i="2"/>
  <c r="E30" i="2"/>
  <c r="D30" i="2"/>
  <c r="B30" i="2"/>
  <c r="C30" i="2" s="1"/>
  <c r="F29" i="2"/>
  <c r="E29" i="2"/>
  <c r="D29" i="2"/>
  <c r="B29" i="2"/>
  <c r="C29" i="2" s="1"/>
  <c r="F25" i="2"/>
  <c r="E25" i="2"/>
  <c r="D25" i="2"/>
  <c r="B25" i="2"/>
  <c r="F24" i="2"/>
  <c r="E24" i="2"/>
  <c r="D24" i="2"/>
  <c r="B24" i="2"/>
  <c r="I23" i="2"/>
  <c r="F23" i="2"/>
  <c r="E23" i="2"/>
  <c r="D23" i="2"/>
  <c r="B23" i="2"/>
  <c r="C23" i="2" s="1"/>
  <c r="B19" i="2"/>
  <c r="B16" i="2"/>
  <c r="B13" i="2"/>
  <c r="B12" i="2"/>
  <c r="B11" i="2"/>
  <c r="B9" i="2"/>
  <c r="G21" i="6" l="1"/>
  <c r="G25" i="6"/>
  <c r="G22" i="6"/>
  <c r="G27" i="6"/>
  <c r="C25" i="2"/>
  <c r="C24" i="2"/>
  <c r="G19" i="6"/>
  <c r="B29" i="6"/>
  <c r="H20" i="6" l="1"/>
  <c r="H21" i="6"/>
  <c r="H22" i="6"/>
  <c r="H23" i="6"/>
  <c r="H24" i="6"/>
  <c r="H25" i="6"/>
  <c r="H26" i="6"/>
  <c r="H28" i="6"/>
  <c r="H27" i="6"/>
  <c r="H19" i="6"/>
  <c r="G29" i="6"/>
  <c r="H29" i="6" l="1"/>
</calcChain>
</file>

<file path=xl/sharedStrings.xml><?xml version="1.0" encoding="utf-8"?>
<sst xmlns="http://schemas.openxmlformats.org/spreadsheetml/2006/main" count="11543" uniqueCount="3368">
  <si>
    <t>PT of The City: Social Media &amp; Competitor Analysis</t>
  </si>
  <si>
    <t>Instagram audit of @pt_city vs 4 NY/NJ physical therapy competitors + platform audience guide · October 13, 2026</t>
  </si>
  <si>
    <t>What is in this workbook</t>
  </si>
  <si>
    <t>Sheet</t>
  </si>
  <si>
    <t>Contents</t>
  </si>
  <si>
    <t>1. PT City Performance</t>
  </si>
  <si>
    <t>Task 1: Social Media Performance Analysis of @pt_city</t>
  </si>
  <si>
    <t>2. Competitor Benchmark</t>
  </si>
  <si>
    <t>Task 2: Competitor Social Media Analysis (side-by-side KPIs, strengths, weaknesses)</t>
  </si>
  <si>
    <t>3. Auto-Reply Analysis</t>
  </si>
  <si>
    <t>Task 3: Auto-reply &amp; response behaviour + ready-to-use auto-reply scripts</t>
  </si>
  <si>
    <t>4. Reply Templates</t>
  </si>
  <si>
    <t>Task 4: How each brand replies + PT City reply template library</t>
  </si>
  <si>
    <t>5. Audience Categories</t>
  </si>
  <si>
    <t>Task 5: Audience categorization framework + 472 real comments classified</t>
  </si>
  <si>
    <t>6. Content Types</t>
  </si>
  <si>
    <t>Task 6: Competitors’ content formats &amp; themes and what performs</t>
  </si>
  <si>
    <t>7. Visual Identity</t>
  </si>
  <si>
    <t>Task 7: Competitors’ design &amp; visual identity</t>
  </si>
  <si>
    <t>8. Captions</t>
  </si>
  <si>
    <t>Task 8: Competitors’ caption analysis (length, hooks, CTAs, hashtags)</t>
  </si>
  <si>
    <t>9. Target Audience</t>
  </si>
  <si>
    <t>Task 9: Competitors’ target audience</t>
  </si>
  <si>
    <t>10. Tone of Voice</t>
  </si>
  <si>
    <t>Task 10: Competitors’ tone of voice + recommended PT City voice</t>
  </si>
  <si>
    <t>11. Recommendations</t>
  </si>
  <si>
    <t>Task 11: Prioritized improvement recommendations</t>
  </si>
  <si>
    <t>12. Report &amp; Action Plan</t>
  </si>
  <si>
    <t>Task 12: Final report, KPI targets, 90-day action plan, weekly calendar</t>
  </si>
  <si>
    <t>Platforms &amp; Age</t>
  </si>
  <si>
    <t>Extra: average user age per platform + what content works / flops on each platform</t>
  </si>
  <si>
    <t>Post Data</t>
  </si>
  <si>
    <t>536 posts (5 accounts) with metrics. All summary formulas read from here.</t>
  </si>
  <si>
    <t>Comment Data</t>
  </si>
  <si>
    <t>472 audience comments (usernames removed) with category and brand reply.</t>
  </si>
  <si>
    <t>Method &amp; definitions</t>
  </si>
  <si>
    <t>•  Source: public Instagram data for 5 accounts, pulled Oct 13, 2026 from a logged-in browser session (read-only).</t>
  </si>
  <si>
    <t>•  Sample: 108 most recent feed posts per account (536 posts after dropping one pinned 2023 post) + up to 72 recent Reels per account for view counts.</t>
  </si>
  <si>
    <t>•  Comments: top 14 most-commented posts per account (472 audience comments, including reply threads) to measure brand reply behaviour and audience intent.</t>
  </si>
  <si>
    <t>•  Engagement rate (ER) per post = (likes + comments) ÷ followers. Medians are used for comparisons so one viral post does not distort a whole account.</t>
  </si>
  <si>
    <t>•  "Lift" = median ER of a format/theme ÷ the account’s overall median ER (1.0 = average for that account; 2.0 = twice as engaging).</t>
  </si>
  <si>
    <t>•  Themes, hooks and comment categories were assigned by keyword rules and spot-checked by hand; treat small groups (n &lt; 5) as directional.</t>
  </si>
  <si>
    <t>•  Not available from public data: saves, shares, reach, DMs and story metrics. Pull these from PT City’s own Instagram Insights / Meta Business Suite to complete Task 1.</t>
  </si>
  <si>
    <t>•  Platform age figures: Pew Research Center (Americans’ Social Media Use, 2025; LinkedIn &amp; Pinterest from the 2023 wave). Average age is our estimate = Pew usage rate by age band × US adult population in that band.</t>
  </si>
  <si>
    <t>Sources</t>
  </si>
  <si>
    <t>Source</t>
  </si>
  <si>
    <t>Link</t>
  </si>
  <si>
    <t>Pew Research Center: Social Media Fact Sheet / Americans’ Social Media Use 2025</t>
  </si>
  <si>
    <t>https://www.pewresearch.org/internet/fact-sheet/social-media/</t>
  </si>
  <si>
    <t>Pew Research Center: Americans’ Social Media Use 2025 (Nov 20, 2025)</t>
  </si>
  <si>
    <t>https://www.pewresearch.org/internet/2025/11/20/americans-social-media-use-2025/</t>
  </si>
  <si>
    <t>Socialinsider: 2025 Instagram benchmarks (carousels 0.55%, Reels 0.50%, images 0.45% ER)</t>
  </si>
  <si>
    <t>https://www.socialinsider.io/blog/instagram-hashtag-study/</t>
  </si>
  <si>
    <t>Socialinsider: Facebook engagement benchmarks (albums lead for small pages, links last)</t>
  </si>
  <si>
    <t>https://www.socialinsider.io/social-media-benchmarks/facebook</t>
  </si>
  <si>
    <t>Hootsuite: Healthcare social media (IG carousels &gt; Reels &gt; photos; FB albums &gt; photos &gt; video &gt; links)</t>
  </si>
  <si>
    <t>https://blog.hootsuite.com/healthcare-social-media/</t>
  </si>
  <si>
    <t>Dash Social: 2025 H2 Health &amp; Wellness benchmark</t>
  </si>
  <si>
    <t>https://pages.dashsocial.com/hubfs/social-media-benchmark/2025/H2/health-wellness-industry.pdf</t>
  </si>
  <si>
    <t>Socialinsider: TikTok benchmarks 2025</t>
  </si>
  <si>
    <t>https://www.socialinsider.io/social-media-benchmarks/tiktok</t>
  </si>
  <si>
    <t>Social Media Today: Instagram ranking signals 2025 (watch time, likes per reach, sends per reach)</t>
  </si>
  <si>
    <t>https://www.socialmediatoday.com/news/instagram-shares-algorithm-2025/738034/</t>
  </si>
  <si>
    <t>Colour legend</t>
  </si>
  <si>
    <t>Black numbers</t>
  </si>
  <si>
    <t>Formulas: they recalculate from the Post Data / Comment Data sheets</t>
  </si>
  <si>
    <t>Blue numbers</t>
  </si>
  <si>
    <t>Inputs typed in from a source (profile header counts, Pew survey figures) or medians computed in Python</t>
  </si>
  <si>
    <t>Task 1: PT of The City Social Media Performance</t>
  </si>
  <si>
    <t>@pt_city · Instagram · 108 posts from 2026-02-17 to 2026-10-12</t>
  </si>
  <si>
    <t>Headline KPIs</t>
  </si>
  <si>
    <t>KPI</t>
  </si>
  <si>
    <t>Value</t>
  </si>
  <si>
    <t>Note</t>
  </si>
  <si>
    <t>Followers</t>
  </si>
  <si>
    <t>Profile header, Oct 13 2026</t>
  </si>
  <si>
    <t>Following</t>
  </si>
  <si>
    <t>Profile header</t>
  </si>
  <si>
    <t>Total posts (all time)</t>
  </si>
  <si>
    <t>Posts analysed</t>
  </si>
  <si>
    <t>Most recent feed posts</t>
  </si>
  <si>
    <t>Posts per week (last 90 days)</t>
  </si>
  <si>
    <t>43 posts in the last 90 days</t>
  </si>
  <si>
    <t>Average likes per post</t>
  </si>
  <si>
    <t>Average comments per post</t>
  </si>
  <si>
    <t>Average engagement rate</t>
  </si>
  <si>
    <t>(likes+comments)/followers</t>
  </si>
  <si>
    <t>Median engagement rate</t>
  </si>
  <si>
    <t>Median, robust to viral outliers (computed in Python)</t>
  </si>
  <si>
    <t>Median Reel views</t>
  </si>
  <si>
    <t>Max 72,444 views</t>
  </si>
  <si>
    <t>Average Reel views</t>
  </si>
  <si>
    <t>Reel views per follower (median)</t>
  </si>
  <si>
    <t>Highest in the competitor set</t>
  </si>
  <si>
    <t>Likes per 1,000 Reel views</t>
  </si>
  <si>
    <t>Lowest in the set (competitors 16–21)</t>
  </si>
  <si>
    <t>Audience comment reply rate</t>
  </si>
  <si>
    <t>Top-14 most-commented posts</t>
  </si>
  <si>
    <t>Performance by format</t>
  </si>
  <si>
    <t>Format</t>
  </si>
  <si>
    <t>Posts</t>
  </si>
  <si>
    <t>Share</t>
  </si>
  <si>
    <t>Avg likes</t>
  </si>
  <si>
    <t>Avg comments</t>
  </si>
  <si>
    <t>Avg ER</t>
  </si>
  <si>
    <t>Median ER</t>
  </si>
  <si>
    <t>Lift vs account (median)</t>
  </si>
  <si>
    <t>Avg Reel views</t>
  </si>
  <si>
    <t>Reel / video</t>
  </si>
  <si>
    <t>Carousel</t>
  </si>
  <si>
    <t>–</t>
  </si>
  <si>
    <t>Single image</t>
  </si>
  <si>
    <t>Performance by content theme</t>
  </si>
  <si>
    <t>Theme</t>
  </si>
  <si>
    <t>Humor / trends &amp; challenges</t>
  </si>
  <si>
    <t>Hiring / careers</t>
  </si>
  <si>
    <t>Awareness days / holidays</t>
  </si>
  <si>
    <t>Community &amp; events</t>
  </si>
  <si>
    <t>Patient stories / reviews</t>
  </si>
  <si>
    <t>Team / culture &amp; BTS</t>
  </si>
  <si>
    <t>Clinic / services promo</t>
  </si>
  <si>
    <t>Education / exercise tips</t>
  </si>
  <si>
    <t>Other / brand</t>
  </si>
  <si>
    <t>When PT City posts (US Eastern time)</t>
  </si>
  <si>
    <t>Day</t>
  </si>
  <si>
    <t>Time of day</t>
  </si>
  <si>
    <t>Mon</t>
  </si>
  <si>
    <t>Early (6–10am)</t>
  </si>
  <si>
    <t>Tue</t>
  </si>
  <si>
    <t>Midday (10am–2pm)</t>
  </si>
  <si>
    <t>Wed</t>
  </si>
  <si>
    <t>Afternoon (2–6pm)</t>
  </si>
  <si>
    <t>Thu</t>
  </si>
  <si>
    <t>Evening (6–10pm)</t>
  </si>
  <si>
    <t>Fri</t>
  </si>
  <si>
    <t>Late (10pm–6am)</t>
  </si>
  <si>
    <t>Sat</t>
  </si>
  <si>
    <t>Sun</t>
  </si>
  <si>
    <t>Monthly trend</t>
  </si>
  <si>
    <t>Month</t>
  </si>
  <si>
    <t>Reels</t>
  </si>
  <si>
    <t>2026-02</t>
  </si>
  <si>
    <t>2026-03</t>
  </si>
  <si>
    <t>2026-04</t>
  </si>
  <si>
    <t>2026-05</t>
  </si>
  <si>
    <t>2026-06</t>
  </si>
  <si>
    <t>2026-07</t>
  </si>
  <si>
    <t>2026-08</t>
  </si>
  <si>
    <t>2026-09</t>
  </si>
  <si>
    <t>2026-10</t>
  </si>
  <si>
    <t>Top 10 posts by engagement rate</t>
  </si>
  <si>
    <t>Hook / first line</t>
  </si>
  <si>
    <t>Date</t>
  </si>
  <si>
    <t>Likes</t>
  </si>
  <si>
    <t>Comments</t>
  </si>
  <si>
    <t>Reel views</t>
  </si>
  <si>
    <t>ER</t>
  </si>
  <si>
    <t>Test Your Shoulder Mobility in 30 Seconds with PT of The City 💪🏼</t>
  </si>
  <si>
    <t>2026-03-12</t>
  </si>
  <si>
    <t>https://www.instagram.com/p/DVzZIxYiujh/</t>
  </si>
  <si>
    <t>📍 Belmont, we’re here for you! PT Of The City has arrived on Third Avenue!</t>
  </si>
  <si>
    <t>2026-06-11</t>
  </si>
  <si>
    <t>https://www.instagram.com/p/DZdkaz6CbIU/</t>
  </si>
  <si>
    <t>We’re expanding our hours to serve you better! 🕒</t>
  </si>
  <si>
    <t>2026-06-13</t>
  </si>
  <si>
    <t>https://www.instagram.com/p/DZhnKa_KOYh/</t>
  </si>
  <si>
    <t>Ever wonder what happens during an initial evaluation? Here’s a sneak peek! 👀</t>
  </si>
  <si>
    <t>2026-06-08</t>
  </si>
  <si>
    <t>https://www.instagram.com/p/DZV0RIzlj_W/</t>
  </si>
  <si>
    <t>Our therapist has a name and it’s [Bestie]🫂🤞🏻</t>
  </si>
  <si>
    <t>2026-02-25</t>
  </si>
  <si>
    <t>https://www.instagram.com/p/DVMuvjICvHg/</t>
  </si>
  <si>
    <t>Carrying our entire day in our pockets - quite literally</t>
  </si>
  <si>
    <t>2026-02-19</t>
  </si>
  <si>
    <t>https://www.instagram.com/p/DU9SOSfivJW/</t>
  </si>
  <si>
    <t>Teamwork makes the dream work, right? 😅</t>
  </si>
  <si>
    <t>2026-06-30</t>
  </si>
  <si>
    <t>https://www.instagram.com/p/DaOdw9jiTCP/</t>
  </si>
  <si>
    <t>Her resume includes references from multiple centuries🤩</t>
  </si>
  <si>
    <t>2026-02-17</t>
  </si>
  <si>
    <t>https://www.instagram.com/p/DU4GMbLCk-z/</t>
  </si>
  <si>
    <t>What’s inside our physical therapy clinics?👀</t>
  </si>
  <si>
    <t>2026-10-07</t>
  </si>
  <si>
    <t>https://www.instagram.com/p/DeNSQXoxClk/</t>
  </si>
  <si>
    <t>The best way to achieve long-lasting results is to stick with your treatment plan from start to finish.</t>
  </si>
  <si>
    <t>2026-09-21</t>
  </si>
  <si>
    <t>https://www.instagram.com/p/Ddj8E6dR8TI/</t>
  </si>
  <si>
    <t>Bottom 5 posts</t>
  </si>
  <si>
    <t>Struggling to open your mouth for even a small bite? 😬</t>
  </si>
  <si>
    <t>2026-03-18</t>
  </si>
  <si>
    <t>https://www.instagram.com/p/DWByToBDggd/</t>
  </si>
  <si>
    <t>What makes patients choose Occupational Therapy at our Sheepshead Bay clinic?</t>
  </si>
  <si>
    <t>2026-09-18</t>
  </si>
  <si>
    <t>https://www.instagram.com/p/Ddbh3dUqDEV/</t>
  </si>
  <si>
    <t>Why do pelvic floor symptoms come back after a good week?</t>
  </si>
  <si>
    <t>2026-09-14</t>
  </si>
  <si>
    <t>https://www.instagram.com/p/DdSDpZZRhHV/</t>
  </si>
  <si>
    <t>This National Disability Independence Day, we’re cheering on the incredible strength and determination we see in our clinic every single day</t>
  </si>
  <si>
    <t>2026-07-26</t>
  </si>
  <si>
    <t>https://www.instagram.com/p/DbQm6uVjHb7/</t>
  </si>
  <si>
    <t>Think a C-section “spares” your pelvic floor? Think again. ✋</t>
  </si>
  <si>
    <t>2026-07-13</t>
  </si>
  <si>
    <t>https://www.instagram.com/p/Davz0-Wx_2U/</t>
  </si>
  <si>
    <t>Key findings</t>
  </si>
  <si>
    <t>Reels are PT City’s engine</t>
  </si>
  <si>
    <t>Reels are 61% of posts and earn 1.41× the account’s median engagement. Single images (33% of posts) earn 0.49× and carousels 0.27×.</t>
  </si>
  <si>
    <t>Views are not turning into engagement</t>
  </si>
  <si>
    <t>Median Reel = 2,142 views (0.54 views per follower, the best ratio in the set), but only 4.4 likes per 1,000 views vs 16–21 for every competitor. High-view Reels with very few likes (e.g. 72K views / 32 likes) look like boosted or non-local reach. Check which Reels were boosted and what audience they reached.</t>
  </si>
  <si>
    <t>Humor, team &amp; community posts outperform; education &amp; promo underperform</t>
  </si>
  <si>
    <t>Humor / trends &amp; challenges = 1.78× lift, Team / culture = 1.46×, Community &amp; events = 1.19×. Education (31 posts) = 0.54× and Clinic / services promo (28 posts) = 0.65×. Over half the feed is the two weakest themes.</t>
  </si>
  <si>
    <t>Short captions win</t>
  </si>
  <si>
    <t>Captions under 40 words average 1.08% ER vs 0.69% for 40–100 words and 0.48% for 100+. Posts with a hard CTA average 0.58% vs 0.89% without. The salesy tone suppresses engagement.</t>
  </si>
  <si>
    <t>Best slots: evenings, Thursday–Sunday</t>
  </si>
  <si>
    <t>Evening posts (6–10pm ET) have the best median ER (0.61%) vs afternoon (0.38%) where 51% of posts go out. Monday and Friday are the weakest days.</t>
  </si>
  <si>
    <t>Strong replies, weak quality</t>
  </si>
  <si>
    <t>PT City replied to 39% of audience comments (best in the set), but 9 of 14 replies were emoji-only (“💚💙”), median reply time ≈16 h, and 2 of 3 “Where are you located?” questions got no answer. A comment about a long-standing hip issue (a warm lead) was never answered.</t>
  </si>
  <si>
    <t>Top performers share a pattern</t>
  </si>
  <si>
    <t>The best posts are interactive or local and have a real person on camera: “Test your shoulder mobility in 30 seconds” (7.8% ER, 41K views), Belmont new-clinic launch (4.0%), “We’re expanding our hours” (3.3%), “What happens during an initial evaluation” (50K views).</t>
  </si>
  <si>
    <t>Hashtags are generic</t>
  </si>
  <si>
    <t>#physicaltherapy, #trending and #fyp appear on most posts. #fyp and #trending do nothing on Instagram. 63 of 74 location tags are a generic “New York City” rather than the clinic’s neighborhood, and only 3% of posts are Collabs with partners.</t>
  </si>
  <si>
    <t>Task 2: Competitor Social Media Analysis</t>
  </si>
  <si>
    <t>Instagram · PT of The City vs Hands of Hope, JAG, Spear, Professional PT</t>
  </si>
  <si>
    <t>Side-by-side benchmark</t>
  </si>
  <si>
    <t>Metric</t>
  </si>
  <si>
    <t>PT of The City</t>
  </si>
  <si>
    <t>Hands of Hope PT</t>
  </si>
  <si>
    <t>JAG Physical Therapy</t>
  </si>
  <si>
    <t>Spear PT</t>
  </si>
  <si>
    <t>Professional PT</t>
  </si>
  <si>
    <t>Handle</t>
  </si>
  <si>
    <t>@pt_city</t>
  </si>
  <si>
    <t>@handsofhopeptny</t>
  </si>
  <si>
    <t>@jagphysicaltherapy</t>
  </si>
  <si>
    <t>@spearptnyc</t>
  </si>
  <si>
    <t>@professionalphysicaltherapy</t>
  </si>
  <si>
    <t>Avg likes / post</t>
  </si>
  <si>
    <t>Median likes / post</t>
  </si>
  <si>
    <t>Avg comments / post</t>
  </si>
  <si>
    <t>Avg engagement rate</t>
  </si>
  <si>
    <t>Rank by median ER (1 = best)</t>
  </si>
  <si>
    <t>Reels share of posts</t>
  </si>
  <si>
    <t>Carousel share</t>
  </si>
  <si>
    <t>Single image share</t>
  </si>
  <si>
    <t>Max Reel views</t>
  </si>
  <si>
    <t>Comment reply rate</t>
  </si>
  <si>
    <t>Median reply time (hours)</t>
  </si>
  <si>
    <t>No replies</t>
  </si>
  <si>
    <t>Avg caption length (words)</t>
  </si>
  <si>
    <t>Avg hashtags / post</t>
  </si>
  <si>
    <t>Posts with a CTA</t>
  </si>
  <si>
    <t>Posts with a location tag</t>
  </si>
  <si>
    <t>Collab posts</t>
  </si>
  <si>
    <t>Bio</t>
  </si>
  <si>
    <t>PT of the City. Personalized Physical Therapy in NY. All Insurance Accepted. Sports Injuries. Post-Surgery Rehab. Pain…</t>
  </si>
  <si>
    <t>We strive to give you the best quality of care with highly qualified clinical and administration staff…</t>
  </si>
  <si>
    <t>Local in NJ, NY, PA · Trusted, Evidence-Based Care · Official PT Provider @njdevils @newyorkcityfc @sixers · Get Back To…</t>
  </si>
  <si>
    <t>Named the nation's top physical therapy practice (twice). #LetsKeepMoving</t>
  </si>
  <si>
    <t>A leading provider of physical, occupational, and hand therapy in the Northeast. We’re Hiring! Visit our career link.</t>
  </si>
  <si>
    <t>Link in bio</t>
  </si>
  <si>
    <t>linktr.ee/ptofthecity</t>
  </si>
  <si>
    <t>handsofhopeptny.com</t>
  </si>
  <si>
    <t>linktr.ee/jagpt</t>
  </si>
  <si>
    <t>linktr.ee/spearptnyc</t>
  </si>
  <si>
    <t>linktr.ee/professionalphysicaltherapy</t>
  </si>
  <si>
    <t>Highlights</t>
  </si>
  <si>
    <t>Our locations · Thanksgiving · Reviews · Our Team · 2nd anniversary · Our Story</t>
  </si>
  <si>
    <t>Our Team · Success Stories · Reviews · How we treat · Our Story · Insurances · IV &amp; Wellness</t>
  </si>
  <si>
    <t>Knees · Shoulders · Core · Running · Ankle · Hips · Events · Partners</t>
  </si>
  <si>
    <t>OT Month · CSM 2026 · Day in the Life · 25 Years · Patients · LOL · Therapists</t>
  </si>
  <si>
    <t>News · DARI Motion · Hand Therapy · AT Month · Careers · Patient Success</t>
  </si>
  <si>
    <t>Locations</t>
  </si>
  <si>
    <t>NYC: Manhattan, Brooklyn &amp; Bronx clinics</t>
  </si>
  <si>
    <t>Queens, NY (incl. Forest Hills)</t>
  </si>
  <si>
    <t>NJ / NY / PA (HQ Bridgewater, NJ)</t>
  </si>
  <si>
    <t>Manhattan + NJ/CT (new Wyckoff, NJ clinic)</t>
  </si>
  <si>
    <t>NY / NJ / CT / MA (HQ Melville, NY)</t>
  </si>
  <si>
    <t>Positioning, strengths &amp; weaknesses</t>
  </si>
  <si>
    <t>Positioning</t>
  </si>
  <si>
    <t>Multi-clinic NYC neighborhood PT/OT brand: “all insurance accepted”, convenience, teletherapy.</t>
  </si>
  <si>
    <t>Queens community clinic: PT + pelvic floor + IV/wellness add-ons; “quality of care” message.</t>
  </si>
  <si>
    <t>Regional leader (NJ/NY/PA, 48.9K followers): evidence-based exercise education + official PT for NJ Devils, NYCFC, 76ers.</t>
  </si>
  <si>
    <t>Premium Manhattan practice, “named the nation’s top PT practice (twice)”, specialty programs (running, performing arts, pelvic health).</t>
  </si>
  <si>
    <t>Large Northeast chain (NY/NJ/CT/MA): PT, OT &amp; hand therapy; community events and hiring.</t>
  </si>
  <si>
    <t>Strengths</t>
  </si>
  <si>
    <t>Most Reels-forward small account; high Reel reach per follower; staff appear on camera; frequent local news (new clinics, hours, workshops); fastest growing network of locations.</t>
  </si>
  <si>
    <t>Consistent posting (2.7/wk); BTS “episode” series; pelvic-floor education; website link with UTM tracking; insurance highlight.</t>
  </si>
  <si>
    <t>90% Reels, 23K median views; clinician-led “exercise for X” formula; bold, instantly recognizable covers; question hooks (1.38× lift); highlight library by body part; pro-athlete carousels hit 25K likes.</t>
  </si>
  <si>
    <t>Highest median ER (0.89%); carousels 1.95× lift; staff recognition and awards posts; press features; 21% Collab posts; witty, fast replies (minutes).</t>
  </si>
  <si>
    <t>Very high volume (15 posts/week); one viral Reel (745K views) and several 70K–110K hand-therapy Reels; POV/humor hooks (2.3×); 30% Collabs; 70% of posts location-tagged.</t>
  </si>
  <si>
    <t>Weaknesses</t>
  </si>
  <si>
    <t>Low like-through on Reels; templated/AI-looking static graphics underperform; long promo captions; generic hashtags; emoji-only replies; no proof content (reviews, outcomes) in the feed.</t>
  </si>
  <si>
    <t>Smallest audience (1.7K) and lowest ER (0.29% median); 59% static images; Canva/AI visuals; Reels median only 306 views; 0–7% reply rate; public complaint about phones never answered.</t>
  </si>
  <si>
    <t>3% reply rate; criticism from other PTs left unanswered; almost no local or patient-story content; generic hashtags.</t>
  </si>
  <si>
    <t>Long captions (median 91 words); almost no hashtags; Reels median only 2K views; education Reels underperform (0.82×).</t>
  </si>
  <si>
    <t>Median ER only 0.29%; 44% static event flyers (0.40×); 0% reply rate on 114 comments, even on viral posts; inconsistent visuals across locations.</t>
  </si>
  <si>
    <t>Top 3 posts per competitor</t>
  </si>
  <si>
    <t>Account</t>
  </si>
  <si>
    <t>Views</t>
  </si>
  <si>
    <t>Can you believe it’s been 10 years? 🎈</t>
  </si>
  <si>
    <t>Real healing requires a real connection!</t>
  </si>
  <si>
    <t>We were under new management yesterday ! 👶</t>
  </si>
  <si>
    <t>Expanding the book club.</t>
  </si>
  <si>
    <t>From first page to final chapter.</t>
  </si>
  <si>
    <t>Experiencing numbness or tingling in your ring and pinky fingers?</t>
  </si>
  <si>
    <t xml:space="preserve">Jeremy Crow has been named APTA New York’s 2026 Physical Therapist of the Year, and it is hard to think of someone more deserving. Jeremy’s </t>
  </si>
  <si>
    <t>My PT works with bands...</t>
  </si>
  <si>
    <t>It was a true honor to guest lecture at Touro University with my colleague David Block for their third year Physical Therapy students today!</t>
  </si>
  <si>
    <t>They told his mom no</t>
  </si>
  <si>
    <t>Trouble performing chores at home? These exercises can help with improving dynamic balance, reaching outside your base of support, and train</t>
  </si>
  <si>
    <t>POV: Your job is basically arts &amp; crafts… but with a whole lot of anatomy and biomechanics. 🖐️✂️</t>
  </si>
  <si>
    <t>Task 3: Auto-Reply Messages Analysis</t>
  </si>
  <si>
    <t>What each brand does today when people comment or message, and the auto-reply set PT City should switch on</t>
  </si>
  <si>
    <t>Observed response behaviour</t>
  </si>
  <si>
    <t>What we observed</t>
  </si>
  <si>
    <t>Verdict</t>
  </si>
  <si>
    <t>Reply rate · median time</t>
  </si>
  <si>
    <t>No automated comment replies detected. 14 manual replies to 36 comments (39%). 9 were emoji-only. Median reply time ≈16 h. One location question answered with “check dm dear” in 12 minutes (good routing, informal tone). 2 location questions + 1 hip-pain lead unanswered. No DM welcome/FAQ was visible on desktop web.</t>
  </si>
  <si>
    <t>Partial: responsive but no system</t>
  </si>
  <si>
    <t>39% of 36 comments · 15.7 h</t>
  </si>
  <si>
    <t>1 reply in 15 comments (7%), after 40 h: “Yes! This service is available at our Forest Hills location. Feel free to call or text us…” (good content, too slow). Publicly visible complaint: a patient needing pelvic floor therapy called 3 times and hit a recording. No reply.</t>
  </si>
  <si>
    <t>Weak: leads leaking</t>
  </si>
  <si>
    <t>7% of 15 comments · 40.1 h</t>
  </si>
  <si>
    <t>6 replies to 182 comments (3%), median ≈20 h. Replies are expert and clinical (sets/reps, nerve involvement, “we’d recommend an evaluation”). Criticism from other PTs is ignored. No FAQ/ice-breakers visible on desktop web.</t>
  </si>
  <si>
    <t>Quality over quantity</t>
  </si>
  <si>
    <t>3% of 182 comments · 20.2 h</t>
  </si>
  <si>
    <t>4 replies to 125 comments (3%), median ≈11 minutes. Witty, on-brand, and they tag colleagues into the thread (“@stratton_klete need your NJ insight!”).</t>
  </si>
  <si>
    <t>Best tone, low coverage</t>
  </si>
  <si>
    <t>3% of 125 comments · 0.2 h</t>
  </si>
  <si>
    <t>0 replies to 114 comments, including viral Reels with 745K views. No visible automation. Bio sends people to Linktree for careers.</t>
  </si>
  <si>
    <t>No response system</t>
  </si>
  <si>
    <t>0% of 114 comments · n/a</t>
  </si>
  <si>
    <t>Gaps &amp; opportunities</t>
  </si>
  <si>
    <t>•  Nobody in the set uses a visible comment-to-DM automation or keyword auto-reply. Being first in NYC PT to answer instantly is an open advantage.</t>
  </si>
  <si>
    <t>•  Location, insurance and “do you treat X?” questions are the highest-value comments, and they are the ones left unanswered.</t>
  </si>
  <si>
    <t>•  No competitor publicly moves complaints to a private channel. Complaints stay visible with no answer.</t>
  </si>
  <si>
    <t>•  DM auto-replies (welcome message, away message, FAQ buttons) could not be tested without messaging competitors. A mystery-shopper DM test can be run with approval.</t>
  </si>
  <si>
    <t>Recommended auto-reply set for PT City (edit [brackets] before going live)</t>
  </si>
  <si>
    <t>Trigger</t>
  </si>
  <si>
    <t>Message</t>
  </si>
  <si>
    <t>Where to set it up</t>
  </si>
  <si>
    <t>Instant reply: first DM from a new person</t>
  </si>
  <si>
    <t>Hi {first_name}! 👋 Thanks for reaching out to PT of The City. A team member will reply shortly (Mon–Fri 8am–7pm). To get you scheduled faster, tap an option below or call us at (XXX) XXX-XXXX.</t>
  </si>
  <si>
    <t>IG + FB Messenger (Meta Business Suite → Automations → Instant reply)</t>
  </si>
  <si>
    <t>FAQ buttons (ice-breakers)</t>
  </si>
  <si>
    <t>1) 📅 Book an evaluation  2) 💳 Do you take my insurance?  3) 📍 Find the closest clinic  4) 🧑‍⚕️ What do you treat?  5) 💼 Careers at PT of The City</t>
  </si>
  <si>
    <t>IG + FB (Automations → FAQ)</t>
  </si>
  <si>
    <t>FAQ → Book an evaluation</t>
  </si>
  <si>
    <t>Great, let’s get you moving! Book online here: [booking link] or call (XXX) XXX-XXXX. Most new patients are seen within 24–48 hours. Please don’t send medical details over DM. We’ll cover everything securely at your visit.</t>
  </si>
  <si>
    <t>Automated answer</t>
  </si>
  <si>
    <t>FAQ → Insurance</t>
  </si>
  <si>
    <t>We accept most major insurance plans, including Medicare, Medicaid plans, No-Fault and Workers’ Comp. Send us your plan name (no member ID, please) or check here: [insurance page]. Our front desk will verify your benefits before your first visit.</t>
  </si>
  <si>
    <t>FAQ → Locations</t>
  </si>
  <si>
    <t>We have clinics across Manhattan, Brooklyn &amp; the Bronx 📍 [Midtown] [Hell’s Kitchen] [Chelsea] [Lenox Hill] [Inwood] [Belmont] [Bay Ridge] [Sunset Park] [Sheepshead Bay] … Find your closest one + hours here: [locations link]. Which neighborhood works best for you?</t>
  </si>
  <si>
    <t>FAQ → What do you treat?</t>
  </si>
  <si>
    <t>Our PTs and OTs treat back &amp; neck pain, sports injuries, post-surgery rehab, arthritis, balance &amp; dizziness, pelvic floor, hand/wrist (OT) and more, plus teletherapy. Tell us what you’re dealing with in a few words and we’ll match you with the right specialist.</t>
  </si>
  <si>
    <t>FAQ → Careers</t>
  </si>
  <si>
    <t>We love meeting great clinicians! 💙 See open roles (PT, PTA, OT, front desk) and apply here: [careers link]. Questions? Email [careers email].</t>
  </si>
  <si>
    <t>Away message (after hours / weekends)</t>
  </si>
  <si>
    <t>Thanks for your message! Our team is offline right now and will reply first thing tomorrow morning. To book right away, use [booking link]. If this is a medical emergency, please call 911.</t>
  </si>
  <si>
    <t>IG + FB (Automations → Away message)</t>
  </si>
  <si>
    <t>Comment keyword “BOOK”, “INFO” or “PRICE”</t>
  </si>
  <si>
    <t>Public: “Just sent you a DM, {first_name} 💙” + DM: booking link + insurance line + nearest-clinic question.</t>
  </si>
  <si>
    <t>Comment-to-DM automation (ManyChat or Meta comment automation)</t>
  </si>
  <si>
    <t>Comment keyword “WHERE”, “LOCATION” or “NEAR”</t>
  </si>
  <si>
    <t>Public: “We have clinics all over NYC. Check your DMs for the closest one 📍” + DM: locations list.</t>
  </si>
  <si>
    <t>Comment-to-DM automation</t>
  </si>
  <si>
    <t>Comment keyword “JOB”, “HIRING” or “CAREER”</t>
  </si>
  <si>
    <t>Public: “We’re hiring! Sent you the link 💼” + DM: careers link.</t>
  </si>
  <si>
    <t>Story mention / tag</t>
  </si>
  <si>
    <t>Thank you so much for the shout-out, {first_name}! 💙 We’re so proud of your progress. Mind if we reshare it?</t>
  </si>
  <si>
    <t>IG Automations</t>
  </si>
  <si>
    <t>HIPAA: never ask for or confirm medical or insurance ID details in public comments or DMs. Route them to phone or a secure intake form.</t>
  </si>
  <si>
    <t>Task 4: Social Media Reply Templates Analysis</t>
  </si>
  <si>
    <t>How each brand replies today (real examples) and the PT City template library</t>
  </si>
  <si>
    <t>Current reply styles (from real replies)</t>
  </si>
  <si>
    <t>Real reply examples</t>
  </si>
  <si>
    <t>Assessment</t>
  </si>
  <si>
    <t>Score (1–5)</t>
  </si>
  <si>
    <t>“💚💙” · “Thank you dear💚💙” · “check dm dear💚💙” · “She’s amazing! 💙” · “Thank you so much! We’re so glad you like us!”</t>
  </si>
  <si>
    <t>Warm, but repetitive and very short. “Dear” reads as too casual for a US healthcare brand. Emoji-only replies add nothing for a reader. Good instinct to route location questions to DM.</t>
  </si>
  <si>
    <t>“Yes! This service is available at our Forest Hills location. Feel free to call or text us…”</t>
  </si>
  <si>
    <t>Clear and helpful, but rare and 40 hours late. Complaints are left in public.</t>
  </si>
  <si>
    <t>“3 sets of 10–12 reps are a good start. Gradually increasing to 3 sets of 15…” · “Sorry to hear that you are still having pain… We would certainly recommend…” · “Depending on which nerve is involved…”</t>
  </si>
  <si>
    <t>Expert, safe and educational. Gives specific value without diagnosing, then points to an evaluation. Best model for clinical questions.</t>
  </si>
  <si>
    <t>“depends who you ask 😉 @stratton_klete need your NJ insight!” · “our performing arts PTs are trained dancers…” · “he learned it from the best 😉”</t>
  </si>
  <si>
    <t>Human, witty and fast. Pulls staff into conversations, which builds personality. Best model for community and banter.</t>
  </si>
  <si>
    <t>No replies found.</t>
  </si>
  <si>
    <t>Missed opportunity, especially on viral posts with 745K views.</t>
  </si>
  <si>
    <t>PT City reply template library</t>
  </si>
  <si>
    <t>Audience category</t>
  </si>
  <si>
    <t>Scenario</t>
  </si>
  <si>
    <t>Public comment reply</t>
  </si>
  <si>
    <t>DM follow-up</t>
  </si>
  <si>
    <t>Response SLA</t>
  </si>
  <si>
    <t>Notes / guardrails</t>
  </si>
  <si>
    <t>General – praise / positive reaction</t>
  </si>
  <si>
    <t>Praise / emoji / “great info!”</t>
  </si>
  <si>
    <t>Thank you, {name}! 💙 Which tip should we cover next?  ·  So glad this helped! Save it for your next stretch break 🙌  ·  We’ll pass this along to the team 🫶</t>
  </si>
  <si>
    <t>&lt; 24 h (aim for the first hour after posting)</t>
  </si>
  <si>
    <t>Rotate at least 10 variations. Add a question or a save/share nudge. Avoid emoji-only replies.</t>
  </si>
  <si>
    <t>Existing patient (testimonial / follow-up)</t>
  </si>
  <si>
    <t>Patient praises a therapist</t>
  </si>
  <si>
    <t>This made our day! We’ll make sure {therapist} sees this 💙 Thank you for trusting us with your recovery.</t>
  </si>
  <si>
    <t>Thank you again for the kind words! Would you be open to sharing a short Google review? It helps neighbors find us: [review link]</t>
  </si>
  <si>
    <t>&lt; 4 h</t>
  </si>
  <si>
    <t>Never confirm someone is a patient or mention their condition publicly (HIPAA). Let them share; you only thank.</t>
  </si>
  <si>
    <t>Patient asks about their appointment, plan or a bill</t>
  </si>
  <si>
    <t>Hi {name}, we’d love to help with that! Sending you a DM now so we can take care of it privately 💙</t>
  </si>
  <si>
    <t>Hi {name}, thanks for reaching out! For your privacy, please call your clinic at (XXX) XXX-XXXX or reply with your preferred callback time, and our front desk will contact you today.</t>
  </si>
  <si>
    <t>&lt; 2 h (business hours)</t>
  </si>
  <si>
    <t>Move any account or clinical detail out of public comments.</t>
  </si>
  <si>
    <t>Potential patient (symptom / service question)</t>
  </si>
  <si>
    <t>“Do you treat…?” / “Mine hurts going down stairs”</t>
  </si>
  <si>
    <t>Great question, {name}! Pain going down stairs is often related to {general cause}. A PT evaluation can pinpoint why. We’re sending you a DM with the closest clinic 💙</t>
  </si>
  <si>
    <t>Hi {name}! Thanks for asking. Our PTs treat {condition} every day. Here’s how to book an evaluation: [link] / (XXX) XXX-XXXX. Most plans are accepted and we can usually see you within 48 h.</t>
  </si>
  <si>
    <t>&lt; 1 h (hot lead)</t>
  </si>
  <si>
    <t>Give general education only. No diagnosis and no specific advice for their case. JAG’s replies are the model.</t>
  </si>
  <si>
    <t>Insurance / pricing / appointments</t>
  </si>
  <si>
    <t>“Do you take my insurance?” / “How much?”</t>
  </si>
  <si>
    <t>Yes, we accept most major plans, including Medicare, No-Fault and Workers’ Comp! Sent you a DM to check yours 💙</t>
  </si>
  <si>
    <t>Hi {name}! Reply with your insurance plan name (no ID numbers please) and the clinic you prefer, and we’ll confirm your coverage. You can also call (XXX) XXX-XXXX.</t>
  </si>
  <si>
    <t>&lt; 1 h</t>
  </si>
  <si>
    <t>Never quote exact prices publicly. Coverage varies by plan.</t>
  </si>
  <si>
    <t>Location / contact info</t>
  </si>
  <si>
    <t>“Where are you located?”</t>
  </si>
  <si>
    <t>We have clinics in {neighborhoods}! 📍 The closest one to you? Check your DMs. We just sent the full list.</t>
  </si>
  <si>
    <t>Here are all our locations + hours: [link]. Which neighborhood works best? We’ll share the direct number for that clinic.</t>
  </si>
  <si>
    <t>Pin a “Locations” comment on every clinic-tour Reel. Keep the “Our locations” highlight up to date.</t>
  </si>
  <si>
    <t>Job seeker / career</t>
  </si>
  <si>
    <t>“Are you hiring?”</t>
  </si>
  <si>
    <t>We are! 💼 We’re always looking for great PTs, PTAs and OTs. Sent you the link!</t>
  </si>
  <si>
    <t>Thanks for your interest in PT of The City! Open roles + application: [careers link]. Questions? Email [careers email].</t>
  </si>
  <si>
    <t>&lt; 24 h</t>
  </si>
  <si>
    <t>Track how many hires come from social.</t>
  </si>
  <si>
    <t>Complaint / negative feedback</t>
  </si>
  <si>
    <t>Wait times, phones not answered, billing, bad experience</t>
  </si>
  <si>
    <t>Hi {name}, we’re really sorry about this. That’s not the experience we want for anyone. Please check your DMs so we can make it right today.</t>
  </si>
  <si>
    <t>Hi {name}, thank you for telling us. Could you share the best number to reach you? A clinic manager will call you within 24 hours.</t>
  </si>
  <si>
    <t>&lt; 2 h</t>
  </si>
  <si>
    <t>Acknowledge, apologize and take it private. Never argue or share details publicly. Log it and report to operations.</t>
  </si>
  <si>
    <t>Professional criticism (other clinicians challenging the content)</t>
  </si>
  <si>
    <t>Great point, {name}! This video covers one progression for {goal}. Plans are always individualized after an evaluation. Thanks for adding to the conversation 🙌</t>
  </si>
  <si>
    <t>Stay curious and confident. Thank them, add context, don’t delete. It shows expertise to everyone else reading.</t>
  </si>
  <si>
    <t>Spam / unrelated</t>
  </si>
  <si>
    <t>“Send me this post”, bots, bib/ticket sellers</t>
  </si>
  <si>
    <t>(No reply. Hide or delete and restrict the account.)</t>
  </si>
  <si>
    <t>Daily sweep</t>
  </si>
  <si>
    <t>Turn on Hidden Words + the custom keyword filter.</t>
  </si>
  <si>
    <t>General – other / banter / tags</t>
  </si>
  <si>
    <t>People tagging friends / inside jokes</t>
  </si>
  <si>
    <t>Tag the friend who needs this reminder 😅  ·  Team {clinic} approves 😂</t>
  </si>
  <si>
    <t>Like the comment at minimum. Light humor works (see Spear).</t>
  </si>
  <si>
    <t>Placeholders: {name} = commenter first name, {therapist} = staff name, {neighborhoods}/{condition}/{goal} = fill in per post. Save each as a Saved Reply in Meta Business Suite.</t>
  </si>
  <si>
    <t>Task 5: Social Media Audience Categorization</t>
  </si>
  <si>
    <t>Framework for sorting every comment and DM by intent, plus 472 real comments classified</t>
  </si>
  <si>
    <t>Categorization framework</t>
  </si>
  <si>
    <t>Category</t>
  </si>
  <si>
    <t>Definition</t>
  </si>
  <si>
    <t>Signals / keywords</t>
  </si>
  <si>
    <t>Real example</t>
  </si>
  <si>
    <t>Priority</t>
  </si>
  <si>
    <t>Owner</t>
  </si>
  <si>
    <t>SLA</t>
  </si>
  <si>
    <t>Goal</t>
  </si>
  <si>
    <t>Auto-reply keyword</t>
  </si>
  <si>
    <t>Not yet a patient. Describes a symptom or asks whether we treat something.</t>
  </si>
  <si>
    <t>my/I have + pain/knee/back/hip/surgery; “do you treat/offer”; “can this help”; “how many reps”; “I need help”</t>
  </si>
  <si>
    <t>“Pls don’t even show me this w/ my FOREVER HIP ISSUE!!” (PT City, unanswered) · “I just had TKR surgery six months ago and I’m having terrible pain going up and down the stairs” (JAG)</t>
  </si>
  <si>
    <t>P1, Hot lead</t>
  </si>
  <si>
    <t>Social/front desk</t>
  </si>
  <si>
    <t>Book an evaluation</t>
  </si>
  <si>
    <t>BOOK / INFO</t>
  </si>
  <si>
    <t>Current or past patient: praise, progress, or a question about their care.</t>
  </si>
  <si>
    <t>names a therapist; “changed my life”; “my PT”; “client here”; “helped me”</t>
  </si>
  <si>
    <t>“One of the best physical therapist you can ever get…” (PT City) · “Meeting Jeremy… changed my life” (Spear)</t>
  </si>
  <si>
    <t>P2</t>
  </si>
  <si>
    <t>Social → clinic manager</t>
  </si>
  <si>
    <t>Review / referral / retention</t>
  </si>
  <si>
    <t>Clinicians, students or staff interested in working with us.</t>
  </si>
  <si>
    <t>hiring, job, position, resume, CV, internship, apply, new grad, clinical rotation</t>
  </si>
  <si>
    <t>None in the sample. Competitors push hiring from bio/highlights (Professional PT: “We’re Hiring!”).</t>
  </si>
  <si>
    <t>P3</t>
  </si>
  <si>
    <t>HR / recruiter</t>
  </si>
  <si>
    <t>Application</t>
  </si>
  <si>
    <t>JOB / HIRING</t>
  </si>
  <si>
    <t>Coverage, cost, booking, availability or hours.</t>
  </si>
  <si>
    <t>insurance, Medicare, Medicaid, No-Fault, Workers’ Comp, copay, cost, price, appointment, book, schedule, hours, open</t>
  </si>
  <si>
    <t>“…when I had a health insurance back in the days…” (JAG)</t>
  </si>
  <si>
    <t>Front desk / intake</t>
  </si>
  <si>
    <t>Verified booking</t>
  </si>
  <si>
    <t>BOOK / INSURANCE</t>
  </si>
  <si>
    <t>Asking where we are, the nearest clinic, phone or email.</t>
  </si>
  <si>
    <t>where are you / located / address / near me / which clinic / phone / “offer this in Forest Hills”</t>
  </si>
  <si>
    <t>“Where are you located?”, “Where is this?” (PT City, 2 of 3 unanswered) · “Do you offer this in Forest Hills location” (HoH)</t>
  </si>
  <si>
    <t>P1</t>
  </si>
  <si>
    <t>Social</t>
  </si>
  <si>
    <t>Clinic match → booking</t>
  </si>
  <si>
    <t>WHERE / LOCATION</t>
  </si>
  <si>
    <t>Bad experience, service failure, or public criticism of the care shown.</t>
  </si>
  <si>
    <t>wait time, called 3 times, rude, worst, refund, billing, “didn’t help”, sarcasm from other PTs</t>
  </si>
  <si>
    <t>“I called 3 times the recording said estimate wait time 1 minute…” (HoH, unanswered) · “Corporate chains still operating like it’s 1999” (JAG)</t>
  </si>
  <si>
    <t>P1, Reputation</t>
  </si>
  <si>
    <t>Clinic manager</t>
  </si>
  <si>
    <t>Resolve privately; save the patient</t>
  </si>
  <si>
    <t>Positive reactions, congratulations, “great info”.</t>
  </si>
  <si>
    <t>love, amazing, thank you, congrats, great job, helpful, the best</t>
  </si>
  <si>
    <t>“Great information!! :)” (PT City) · “These are helpful” (JAG)</t>
  </si>
  <si>
    <t>P4</t>
  </si>
  <si>
    <t>Community warmth, reach</t>
  </si>
  <si>
    <t>General – emoji / reaction</t>
  </si>
  <si>
    <t>Emoji-only comments.</t>
  </si>
  <si>
    <t>no letters, only emoji</t>
  </si>
  <si>
    <t>“🔥🔥”, “👏👏👏”</t>
  </si>
  <si>
    <t>P5</t>
  </si>
  <si>
    <t>Like / short reply</t>
  </si>
  <si>
    <t>Signal to the algorithm</t>
  </si>
  <si>
    <t>Friends tagging friends, jokes, unrelated chat.</t>
  </si>
  <si>
    <t>@mentions, inside jokes</t>
  </si>
  <si>
    <t>“Bay ridge Gang🤌🏻🔥🔥” (PT City)</t>
  </si>
  <si>
    <t>Reach (tags = free distribution)</t>
  </si>
  <si>
    <t>Bots, sellers, scams, people selling marathon bibs.</t>
  </si>
  <si>
    <t>“send me this post”, “look at the requests”, “DM me”, bib/tickets</t>
  </si>
  <si>
    <t>“Send me this post” (PT City ×2, HoH)</t>
  </si>
  <si>
    <t>Hide</t>
  </si>
  <si>
    <t>Daily</t>
  </si>
  <si>
    <t>Keep threads clean</t>
  </si>
  <si>
    <t>Hidden Words filter</t>
  </si>
  <si>
    <t>Observed distribution of audience comments (all 5 accounts)</t>
  </si>
  <si>
    <t>Total</t>
  </si>
  <si>
    <t>Brand replied</t>
  </si>
  <si>
    <t>Insights</t>
  </si>
  <si>
    <t>•  ~90% of public comments are general reactions (praise, emoji, banter). Business-critical comments are rare (~7%) and are exactly the ones going unanswered.</t>
  </si>
  <si>
    <t>•  Across 5 accounts, 14 potential-patient comments, 5 location questions and 8 complaints appeared on just 68 posts. At PT City’s volume that is roughly 1–2 hot leads per week from comments alone, before DMs.</t>
  </si>
  <si>
    <t>•  Complaints show up on competitors’ posts (HoH phone wait, JAG clinical criticism) and none were answered. A visible, fast public recovery is a trust advantage.</t>
  </si>
  <si>
    <t>•  Job-seeker intent shows up in bios and highlights, not comments. PT City has no Careers highlight or careers link in bio.</t>
  </si>
  <si>
    <t>•  Recommended: create matching Labels in Meta Business Suite Inbox (one per category) and tag every DM and comment. Report weekly counts and leads → bookings.</t>
  </si>
  <si>
    <t>Public comments only. DMs are private; once Inbox labels are set up, the same categories should be tracked weekly for DMs.</t>
  </si>
  <si>
    <t>Task 6: Competitors’ Content Types Analysis</t>
  </si>
  <si>
    <t>Format and theme mix per account, and how each performs relative to that account’s own median</t>
  </si>
  <si>
    <t>Format mix (share of posts)</t>
  </si>
  <si>
    <t>Format performance: median ER lift vs the account’s own median (1.00× = average)</t>
  </si>
  <si>
    <t>Theme mix (number of posts)</t>
  </si>
  <si>
    <t>Press / media feature</t>
  </si>
  <si>
    <t>Sports partnerships</t>
  </si>
  <si>
    <t>Theme performance: median ER lift (n ≥ 3 posts; blank = too few posts)</t>
  </si>
  <si>
    <t>Green = at least 1.2× the account median. Red = below 0.8×.</t>
  </si>
  <si>
    <t>What works / what doesn’t, by competitor</t>
  </si>
  <si>
    <t>Works</t>
  </si>
  <si>
    <t>Doesn’t work</t>
  </si>
  <si>
    <t>Staff humor/challenges (1.78×), team culture (1.46×), community events, new-clinic &amp; hours news, interactive self-tests</t>
  </si>
  <si>
    <t>Static AI/stock education cards (0.54×), promo graphics, text-only carousels (0.27×), awareness-day cards</t>
  </si>
  <si>
    <t>Community/anniversary posts (1.8×), real team moments, talking-head Reels (1.70×)</t>
  </si>
  <si>
    <t>Static service/IV promo graphics, awareness cards, stock imagery</t>
  </si>
  <si>
    <t>Clinician “exercise for X” Reels with question hooks, humor skits for PTs, pro-athlete carousels (25K likes)</t>
  </si>
  <si>
    <t>Press, hiring and event posts (0.1–0.4×); patient stories barely used</t>
  </si>
  <si>
    <t>Staff awards &amp; culture (1.77×), carousels (1.95×), community/running events (1.38×), press</t>
  </si>
  <si>
    <t>Service promo posts (0.57×), education Reels (0.82×)</t>
  </si>
  <si>
    <t>Raw relatable Reels (one at 745K views), POV hooks (2.3×), hand-therapy demos (70K–112K views)</t>
  </si>
  <si>
    <t>Event flyers and static team photos (0.40×), community announcements (0.37×)</t>
  </si>
  <si>
    <t>Task 7: Competitors’ Design &amp; Visual Identity Analysis</t>
  </si>
  <si>
    <t>Based on profile grids, covers and highlights reviewed on Oct 13, 2026</t>
  </si>
  <si>
    <t>Colour palette</t>
  </si>
  <si>
    <t>Typography</t>
  </si>
  <si>
    <t>Imagery</t>
  </si>
  <si>
    <t>Templates / grid consistency</t>
  </si>
  <si>
    <t>Logo &amp; highlights</t>
  </si>
  <si>
    <t>Score /5</t>
  </si>
  <si>
    <t>Takeaway for PT City</t>
  </si>
  <si>
    <t>Teal/turquoise + white, green/blue heart accents</t>
  </si>
  <si>
    <t>Rounded sans in white with teal outline on Reels; teal headline + bold black on statics</t>
  </si>
  <si>
    <t>Real staff and clinic footage in Reels; static posts lean on stock/AI-generated models (back-pain man, office worker)</t>
  </si>
  <si>
    <t>Two different looks: lively staff Reels vs templated statics. Grid lacks a recurring series look.</t>
  </si>
  <si>
    <t>PT:City logo top-left on statics, end card on Reels</t>
  </si>
  <si>
    <t>Keep the real-staff Reels look. Replace AI/stock statics with photos of PT City therapists and patients (with consent), and create 3–4 branded series covers.</t>
  </si>
  <si>
    <t>Green + blue (hand logo), white backgrounds</t>
  </si>
  <si>
    <t>Mixed Canva fonts, yellow/white emphasis words</t>
  </si>
  <si>
    <t>Mix of talking-head Reels, AI/stock wellness imagery (IV drip), awareness-month graphics</t>
  </si>
  <si>
    <t>Inconsistent; looks templated; “Episode 7” BTS series is the only recognizable format</t>
  </si>
  <si>
    <t>Logo badge on graphics</t>
  </si>
  <si>
    <t>Shows how stock/Canva visuals cap engagement (median ER 0.29%).</t>
  </si>
  <si>
    <t>Red, black and white (logo colors) used on every cover</t>
  </si>
  <si>
    <t>Huge condensed uppercase headlines (“FIX CHRONIC BACK PAIN”, “CALF STRAIN RECOVERY”), outlined text</t>
  </si>
  <si>
    <t>Clinicians in branded polos demonstrating exercises; pro athletes; humor skits</t>
  </si>
  <si>
    <t>Most consistent grid. Every Reel cover = person + 2–4 word problem headline. Instantly recognizable.</t>
  </si>
  <si>
    <t>JAG badge top-left on covers; highlights are line-art body-part icons</t>
  </si>
  <si>
    <t>The benchmark: a repeatable cover system + body-part highlight library.</t>
  </si>
  <si>
    <t>Spear red + white + warm neutrals</t>
  </si>
  <si>
    <t>Clean editorial sans; quote cards; minimal text on photos</t>
  </si>
  <si>
    <t>Real therapists, events, press portraits, runners; polished lifestyle photography</t>
  </si>
  <si>
    <t>Editorial magazine feel; less templated, more “premium practice”</t>
  </si>
  <si>
    <t>Red “S” mark, small and subtle</t>
  </si>
  <si>
    <t>Premium positioning through photography and press, not graphics.</t>
  </si>
  <si>
    <t>Maroon + navy (P logo), pink/seasonal accents on event flyers</t>
  </si>
  <si>
    <t>Script + bold sans on flyers; mixed styles across locations</t>
  </si>
  <si>
    <t>Event flyers, team photos at fairs, hand-therapy close-ups (splints), staff spotlights</t>
  </si>
  <si>
    <t>Busy and inconsistent; many locations posting different styles. Flyers dominate.</t>
  </si>
  <si>
    <t>Logo on every flyer; identical logo highlight covers</t>
  </si>
  <si>
    <t>Volume without a system. The viral hits are raw, real moments, not the designed flyers.</t>
  </si>
  <si>
    <t>Visual direction for PT City</t>
  </si>
  <si>
    <t>•  One cover system for every Reel: real therapist in frame + 2–4 word problem headline in white with brand-teal outline, logo top-left (the JAG principle, in PT City colours).</t>
  </si>
  <si>
    <t>•  Replace AI/stock people with real PT City therapists and (consented) patients. Real faces drive the best results for every brand in the set.</t>
  </si>
  <si>
    <t>•  Four recurring series with their own cover tint: “Fix it in 30s” (teal), “NYC Life Pain” (navy), “Meet your PT” (white), “Clinic of the Month” (green).</t>
  </si>
  <si>
    <t>•  Carousels: slide 1 = big hook + photo, slides 2–6 = one step per slide with the therapist demonstrating, last slide = save/share + soft CTA.</t>
  </si>
  <si>
    <t>•  Highlights: matching teal line-icon covers: Book · Insurance · Locations · Results · Team · Careers · Teletherapy.</t>
  </si>
  <si>
    <t>Task 8: Competitors’ Caption Analysis</t>
  </si>
  <si>
    <t>Length, hooks, CTAs, hashtags, emoji and mentions, and how they relate to engagement</t>
  </si>
  <si>
    <t>Caption metrics</t>
  </si>
  <si>
    <t>Avg hashtags per post</t>
  </si>
  <si>
    <t>Avg emojis per post</t>
  </si>
  <si>
    <t>% posts with a CTA</t>
  </si>
  <si>
    <t>% posts asking a question</t>
  </si>
  <si>
    <t>Avg ER: short captions (&lt; 40 words)</t>
  </si>
  <si>
    <t>Avg ER: medium (40–99 words)</t>
  </si>
  <si>
    <t>Avg ER: long (100+ words)</t>
  </si>
  <si>
    <t>Avg ER: with CTA</t>
  </si>
  <si>
    <t>Avg ER: without CTA</t>
  </si>
  <si>
    <t>“You” words per 100 words</t>
  </si>
  <si>
    <t>“We/our” words per 100 words</t>
  </si>
  <si>
    <t>Clinical terms per 100 words</t>
  </si>
  <si>
    <t>% posts with @mentions</t>
  </si>
  <si>
    <t>% posts with any emoji</t>
  </si>
  <si>
    <t>Top hashtags</t>
  </si>
  <si>
    <t>#physicaltherapy, #ptofthecity, #trending, #physiotherapy, #fyp, #dpt</t>
  </si>
  <si>
    <t>#handsofhope, #physicaltherapy, #handsofhopept, #recoveryjourney, #patientcare, #nychealth</t>
  </si>
  <si>
    <t>#jagphysicaltherapy, #physicaltherapy, #physicaltherapist, #healthcare, #movebetter, #humor</t>
  </si>
  <si>
    <t>#youthsports, #brooklyn, #concussionawarenessmonth, #alphagames2026, #themainevent, #alphafitclub</t>
  </si>
  <si>
    <t>#propt, #physicaltherapy, #injuryprevention, #handtherapy, #newjersey, #occupationaltherapy</t>
  </si>
  <si>
    <t>Hook (first line) type: median ER lift by account</t>
  </si>
  <si>
    <t>Hook type</t>
  </si>
  <si>
    <t>Announcement / celebration</t>
  </si>
  <si>
    <t>0.54× (n=2)</t>
  </si>
  <si>
    <t>1.20× (n=8)</t>
  </si>
  <si>
    <t>0.40× (n=4)</t>
  </si>
  <si>
    <t>2.03× (n=17)</t>
  </si>
  <si>
    <t>0.88× (n=20)</t>
  </si>
  <si>
    <t>Did-you-know fact</t>
  </si>
  <si>
    <t>0.40× (n=2)</t>
  </si>
  <si>
    <t>0.82× (n=2)</t>
  </si>
  <si>
    <t>News / announcement</t>
  </si>
  <si>
    <t>1.08× (n=7)</t>
  </si>
  <si>
    <t>2.40× (n=2)</t>
  </si>
  <si>
    <t>0.11× (n=1)</t>
  </si>
  <si>
    <t>0.80× (n=8)</t>
  </si>
  <si>
    <t>1.00× (n=5)</t>
  </si>
  <si>
    <t>No caption</t>
  </si>
  <si>
    <t>2.27× (n=1)</t>
  </si>
  <si>
    <t>Number / list</t>
  </si>
  <si>
    <t>0.40× (n=1)</t>
  </si>
  <si>
    <t>POV / relatable</t>
  </si>
  <si>
    <t>2.30× (n=3)</t>
  </si>
  <si>
    <t>Question</t>
  </si>
  <si>
    <t>0.65× (n=25)</t>
  </si>
  <si>
    <t>0.60× (n=23)</t>
  </si>
  <si>
    <t>1.38× (n=35)</t>
  </si>
  <si>
    <t>0.38× (n=7)</t>
  </si>
  <si>
    <t>3.18× (n=8)</t>
  </si>
  <si>
    <t>Statement</t>
  </si>
  <si>
    <t>1.03× (n=73)</t>
  </si>
  <si>
    <t>1.00× (n=68)</t>
  </si>
  <si>
    <t>0.89× (n=68)</t>
  </si>
  <si>
    <t>0.98× (n=74)</t>
  </si>
  <si>
    <t>0.93× (n=72)</t>
  </si>
  <si>
    <t>Caption takeaways</t>
  </si>
  <si>
    <t>•  Short wins for Reels-led accounts: PT City (&lt;40 words = 1.08% ER vs 0.48% for 100+) and JAG (3.13% vs 0.25%). Spear is the exception: long editorial captions on award/press posts work for a premium audience.</t>
  </si>
  <si>
    <t>•  Question hooks work when they name a symptom (“Does your knee hurt when going down the stairs?”, JAG 74K views). Generic questions do not (PT City question hooks = 0.65×).</t>
  </si>
  <si>
    <t>•  Credit the clinician by name + credential (JAG, Spear). It builds authority and gives the therapist a reason to share.</t>
  </si>
  <si>
    <t>•  CTA-heavy captions underperform for PT City (0.58% vs 0.89%). Keep one soft CTA (“Save this for later”, “Book via link in bio”) and put booking info in the pinned comment.</t>
  </si>
  <si>
    <t>•  Hashtags: JAG/Professional use 4–5 branded + topical tags; Spear almost none. #fyp and #trending are noise. Use 3–5 specific tags: brand, service, neighborhood.</t>
  </si>
  <si>
    <t>•  Mentions and Collabs extend reach: Spear tags partners/media in 31% of posts, Professional runs Collabs on 30%. PT City: 0% mentions, 3% Collabs.</t>
  </si>
  <si>
    <t>Task 9: Competitors’ Target Audience Analysis</t>
  </si>
  <si>
    <t>Inferred from content themes, partnerships, captions, locations and who comments</t>
  </si>
  <si>
    <t>Primary audience</t>
  </si>
  <si>
    <t>Secondary audiences</t>
  </si>
  <si>
    <t>Geography</t>
  </si>
  <si>
    <t>Evidence</t>
  </si>
  <si>
    <t>Working NYC adults 25–55 with desk/commute pain, sports injuries and post-surgery needs; insurance-sensitive</t>
  </si>
  <si>
    <t>Seniors (balance, arthritis), women (pelvic floor), OT/hand patients, Spanish speakers (one Spanish Reel), gym members (Crunch partnership)</t>
  </si>
  <si>
    <t>NYC: Manhattan (Midtown, Hell’s Kitchen, Chelsea, Lenox Hill, Inwood), Brooklyn (Bay Ridge, Sunset Park, Sheepshead Bay; workshops in Greenpoint/Flatbush), Bronx (Belmont)</t>
  </si>
  <si>
    <t>Content mentions subway stairs, desk work, teletherapy, Workers’ Comp, extended hours; workshops at YMCAs and Crunch.</t>
  </si>
  <si>
    <t>Local Queens families and adults 35–65</t>
  </si>
  <si>
    <t>Women’s health (pelvic floor), wellness/IV-therapy buyers, referring doctors</t>
  </si>
  <si>
    <t>Queens (Forest Hills and nearby)</t>
  </si>
  <si>
    <t>Insurance highlight; thank-you posts to referring doctors; awareness months.</t>
  </si>
  <si>
    <t>Active adults 25–55 and weekend athletes (runners, knees, shoulders); sports fans</t>
  </si>
  <si>
    <t>Pro/college athletes, youth sports families, PT students &amp; clinicians (recruiting)</t>
  </si>
  <si>
    <t>NJ (core), NY, PA: broad regional and national reach via education Reels</t>
  </si>
  <si>
    <t>Body-part highlights; NJ Devils / NYCFC / 76ers partnerships; running content; humor for PT peers.</t>
  </si>
  <si>
    <t>Affluent Manhattan professionals 30–60, runners, performing artists</t>
  </si>
  <si>
    <t>PT clinicians &amp; students (recruiting, APTA awards), employers/media, new NJ/CT suburban patients</t>
  </si>
  <si>
    <t>Manhattan + new suburban clinics (Wyckoff NJ, Darien CT)</t>
  </si>
  <si>
    <t>Press features (Health, Bezzy), marathon content, pelvic and sexual health, Day-in-the-Life, 25 years.</t>
  </si>
  <si>
    <t>Suburban families and workers across NY/NJ/CT/MA</t>
  </si>
  <si>
    <t>Job seekers (PT/OT/AT), union and labor groups, schools/community events, hand-therapy patients</t>
  </si>
  <si>
    <t>100+ Northeast locations (Long Island, NJ, CT, MA, Bronx)</t>
  </si>
  <si>
    <t>“We’re Hiring!” in bio; health fairs and laborers’ events; location-tagged posts; athletic trainers.</t>
  </si>
  <si>
    <t>Implications for PT City</t>
  </si>
  <si>
    <t>•  Nobody owns “the NYC neighborhood PT”: JAG is regional/athletic, Spear is premium Manhattan, Professional is a suburban chain, HoH is Queens-only. PT City’s multi-borough footprint plus “all insurance accepted” is a distinct position.</t>
  </si>
  <si>
    <t>•  Core patients (40–70, desk workers, post-surgery, arthritis, balance) are older than Instagram’s core. Pair Instagram with Facebook and YouTube to reach them (see Platforms &amp; Age).</t>
  </si>
  <si>
    <t>•  Underserved segments to own in content: commuters (subway stairs, desk-to-train), Spanish-speaking patients, seniors living alone (balance/falls), Workers’ Comp &amp; No-Fault patients.</t>
  </si>
  <si>
    <t>•  Recruiting is an audience too: Spear and Professional use social to hire. PT City’s team content already performs (1.46×).</t>
  </si>
  <si>
    <t>Task 10: Competitors’ Tone of Voice Analysis</t>
  </si>
  <si>
    <t>Scored 1–5 from captions and replies, plus measured language signals</t>
  </si>
  <si>
    <t>Tone descriptors</t>
  </si>
  <si>
    <t>Formal (1) → Casual (5)</t>
  </si>
  <si>
    <t>Clinical (1) → Plain (5)</t>
  </si>
  <si>
    <t>Serious (1) → Playful (5)</t>
  </si>
  <si>
    <t>Brand-centric (1) → Patient-centric (5)</t>
  </si>
  <si>
    <t>“You” per 100 words</t>
  </si>
  <si>
    <t>“We” per 100 words</t>
  </si>
  <si>
    <t>Emoji / post</t>
  </si>
  <si>
    <t>Example lines</t>
  </si>
  <si>
    <t>Warm, encouraging, neighborly; salesy at times; emoji-heavy</t>
  </si>
  <si>
    <t>“Your neighborhood. Your care. Your recovery.🫶🏻” · “Feeling better is great progress, but it doesn’t always mean you’re done with PT.”</t>
  </si>
  <si>
    <t>Earnest, caring, community-first; a bit generic</t>
  </si>
  <si>
    <t>“Nothing means more to our team than hearing how far our patients have come.”</t>
  </si>
  <si>
    <t>Expert coach: direct, instructional, credentialed, with dry humor</t>
  </si>
  <si>
    <t>“Jesse Simon, PT, MCMT, demonstrates 3 exercises…” · “Massage requested ❌ Exercises delivered ✔️ 😌”</t>
  </si>
  <si>
    <t>Confident, polished, editorial; proud of people and credentials</t>
  </si>
  <si>
    <t>“Named the nation’s top physical therapy practice (twice).” · “Spear’s Sarah Shoemaker, PT, DPT, was featured in @health…”</t>
  </si>
  <si>
    <t>Upbeat, corporate-friendly, event-driven, exclamation-heavy</t>
  </si>
  <si>
    <t>“We’re excited to be part of the New England Laborers Health Fair!” · “Not the Monday blues… just the Bronx team looking good in blue 💙😎”</t>
  </si>
  <si>
    <t>Recommended PT City voice: “Your neighborhood PT friend who really knows their stuff”</t>
  </si>
  <si>
    <t>•  Expert but plain-spoken: name the credential (DPT, OT) and explain in everyday words</t>
  </si>
  <si>
    <t>•  Neighborly NYC: subway stairs, desk life, borough pride, real clinic names</t>
  </si>
  <si>
    <t>•  Encouraging, never pushy: one soft CTA, no hard sell</t>
  </si>
  <si>
    <t>•  Light humor from real staff moments; never at the patient’s expense</t>
  </si>
  <si>
    <t>Do</t>
  </si>
  <si>
    <t>Lead with the patient’s problem in ≤ 8 words · Use “you” 2× more than “we” · Credit the clinician by name + credential · Keep most captions under 60 words; one CTA max · Reply in full sentences with a name or a question</t>
  </si>
  <si>
    <t>Don’t</t>
  </si>
  <si>
    <t>“Dear” in replies · Emoji-only replies · #fyp / #trending · Medical promises (“cure”, “fix forever”) · Stock/AI people in place of real therapists</t>
  </si>
  <si>
    <t>Task 11: Social Media Improvement Recommendations</t>
  </si>
  <si>
    <t>Prioritized by impact ÷ effort; every item is tied to evidence from this analysis</t>
  </si>
  <si>
    <t>#</t>
  </si>
  <si>
    <t>Area</t>
  </si>
  <si>
    <t>Recommendation</t>
  </si>
  <si>
    <t>Why (evidence)</t>
  </si>
  <si>
    <t>Impact</t>
  </si>
  <si>
    <t>Effort</t>
  </si>
  <si>
    <t>Engagement ops</t>
  </si>
  <si>
    <t>Set up the auto-reply system (welcome, FAQ buttons, away message, comment-keyword → DM) and a 1-hour response SLA for P1 comments/DMs</t>
  </si>
  <si>
    <t>Location &amp; symptom questions went unanswered; no competitor automates, so this is an open advantage</t>
  </si>
  <si>
    <t>High</t>
  </si>
  <si>
    <t>Low</t>
  </si>
  <si>
    <t>Social manager</t>
  </si>
  <si>
    <t>P1 response &lt; 1 h; DM → booking rate</t>
  </si>
  <si>
    <t>Retire emoji-only and “dear” replies; use the reply template library; always answer location, insurance and symptom questions publicly + DM</t>
  </si>
  <si>
    <t>9 of 14 PT City replies were emoji-only; JAG &amp; Spear show expert/witty replies drive trust</t>
  </si>
  <si>
    <t>% of comments with a full reply</t>
  </si>
  <si>
    <t>Content mix</t>
  </si>
  <si>
    <t>Shift the mix: cut static promo/education graphics from ~45% to ≤15%; grow team/humor/community and real-patient stories</t>
  </si>
  <si>
    <t>Humor 1.78×, Team 1.46×, Community 1.19× vs Education 0.54×, Promo 0.65×</t>
  </si>
  <si>
    <t>Medium</t>
  </si>
  <si>
    <t>Content lead</t>
  </si>
  <si>
    <t>Median ER ≥ 0.8%</t>
  </si>
  <si>
    <t>Formats</t>
  </si>
  <si>
    <t>Rebuild carousels as “save-worthy” step-by-step guides with real therapists (5–7 slides, problem hook on slide 1, 1 exercise per slide)</t>
  </si>
  <si>
    <t>Carousels lead industry benchmarks and Spear’s carousels earn 1.95×, while PT City’s 6 text-only carousels earn 0.27×</t>
  </si>
  <si>
    <t>Designer + PT</t>
  </si>
  <si>
    <t>Saves per post, carousel ER</t>
  </si>
  <si>
    <t>Make 60% Reels with the JAG formula: clinician + 3–6 word problem headline cover + one actionable fix in 20–40 s; series by body part</t>
  </si>
  <si>
    <t>JAG median 23K views with this formula; PT City’s best post is an interactive “test your shoulder mobility” Reel (7.8% ER)</t>
  </si>
  <si>
    <t>Videographer + PTs</t>
  </si>
  <si>
    <t>Median Reel views ≥ 3K; likes per 1K views ≥ 12</t>
  </si>
  <si>
    <t>Paid</t>
  </si>
  <si>
    <t>Audit boosted Reels: target NYC zip codes within 3 miles of each clinic, ages 30–65, and boost only proven organic winners</t>
  </si>
  <si>
    <t>PT City gets 4.4 likes per 1K views vs 16–21 for competitors, which points to low-quality or off-target reach</t>
  </si>
  <si>
    <t>Ads manager</t>
  </si>
  <si>
    <t>Cost per booked evaluation</t>
  </si>
  <si>
    <t>Captions</t>
  </si>
  <si>
    <t>Short captions: hook line ≤ 8 words, 25–60 words total, one soft CTA, 3–5 specific hashtags (#BayRidgePT #HellsKitchen #NYCPhysicalTherapy). Drop #fyp/#trending</t>
  </si>
  <si>
    <t>Under 40 words = 1.08% ER vs 0.48% for 100+ words; hard-CTA posts underperform</t>
  </si>
  <si>
    <t>Copywriter</t>
  </si>
  <si>
    <t>ER by caption length</t>
  </si>
  <si>
    <t>Visual identity</t>
  </si>
  <si>
    <t>Create a cover system (brand teal + white, bold 2–4 word headline, clinician face) and 4 recurring series: “Fix it in 30s”, “NYC Life Pain”, “Meet your PT”, “Clinic of the Month”</t>
  </si>
  <si>
    <t>JAG’s consistent covers make every Reel recognizable; PT City alternates between two unrelated looks</t>
  </si>
  <si>
    <t>Designer</t>
  </si>
  <si>
    <t>Profile visit → follow rate</t>
  </si>
  <si>
    <t>Proof</t>
  </si>
  <si>
    <t>Post 2 patient success stories/month (video testimonials with consent) + Google review screenshots; add a “Results” highlight</t>
  </si>
  <si>
    <t>Patient-story posts (1.03×) and the “why patients choose us” format are trust drivers; no competitor does reviews well</t>
  </si>
  <si>
    <t>Clinic managers</t>
  </si>
  <si>
    <t>Reviews/month; story views</t>
  </si>
  <si>
    <t>Local</t>
  </si>
  <si>
    <t>Use location tags + neighborhood names on every post; Collab posts with gyms/YMCAs/schools (Crunch, YMCA)</t>
  </si>
  <si>
    <t>Professional PT tags 70% of posts and runs 30% Collabs; PT City’s community posts already earn 1.19×</t>
  </si>
  <si>
    <t>Collab reach; local followers</t>
  </si>
  <si>
    <t>Timing</t>
  </si>
  <si>
    <t>Move the posting window to 6–9pm ET, Thu–Sun; avoid Monday drops</t>
  </si>
  <si>
    <t>Evening median ER 0.61% vs afternoon 0.38%; Sat 0.91% / Thu 0.61% vs Mon 0.24%</t>
  </si>
  <si>
    <t>ER by slot (A/B for 6 weeks)</t>
  </si>
  <si>
    <t>Profile</t>
  </si>
  <si>
    <t>Bio rewrite + highlight cleanup: “NYC Physical &amp; Occupational Therapy · Manhattan · Brooklyn · Bronx · Most insurance accepted · Book in 24 h ↓”; highlights: Book · Insurance · Locations · Results · Meet the Team · Careers · Teletherapy</t>
  </si>
  <si>
    <t>Competitors use highlights as navigation (JAG body parts, Professional careers); PT City has none for insurance, booking or careers</t>
  </si>
  <si>
    <t>Link clicks; profile → DM</t>
  </si>
  <si>
    <t>Recruiting</t>
  </si>
  <si>
    <t>Monthly “Work at PT of The City” content (day-in-the-life, CEU support, team culture) + careers link</t>
  </si>
  <si>
    <t>Spear &amp; Professional use social for hiring; team content is a PT City top performer (1.46×)</t>
  </si>
  <si>
    <t>HR + social</t>
  </si>
  <si>
    <t>Applicants from social</t>
  </si>
  <si>
    <t>Platforms</t>
  </si>
  <si>
    <t>Expand beyond Instagram: Facebook (albums + Reels for 45+), YouTube Shorts + search how-tos, TikTok repurposing, LinkedIn for hiring</t>
  </si>
  <si>
    <t>Facebook/YouTube users average ~46–47 yrs, the closest match to core PT patients</t>
  </si>
  <si>
    <t>Followers &amp; bookings by platform</t>
  </si>
  <si>
    <t>Measurement</t>
  </si>
  <si>
    <t>Weekly dashboard: reach, saves, shares, sends, ER by format/theme, response time, leads by category, bookings from social (UTM links)</t>
  </si>
  <si>
    <t>Saves/shares/reach and DM leads are invisible in public data; HoH already tracks bio clicks with UTMs</t>
  </si>
  <si>
    <t>Analyst</t>
  </si>
  <si>
    <t>Weekly report delivered</t>
  </si>
  <si>
    <t>Task 12: Final Analysis Report &amp; Action Plan</t>
  </si>
  <si>
    <t>October 13, 2026</t>
  </si>
  <si>
    <t>Executive summary</t>
  </si>
  <si>
    <t>•  PT of The City (3,957 followers) posts at the same pace as the leaders (3.3/week) and gets strong Reel reach (median 2.1K views, 0.54 views per follower). Engagement quality is the problem: median ER 0.47% vs Spear 0.89% and JAG 0.64%, and only 4.4 likes per 1,000 Reel views vs 16–21 for every competitor.</t>
  </si>
  <si>
    <t>•  What works for PT City: real staff on camera, humor/challenges, team culture, community events and local news (new clinic, extended hours). What doesn’t: static AI/stock graphics, long promotional captions, generic education cards, #fyp hashtags and afternoon/Monday posting.</t>
  </si>
  <si>
    <t>•  Competitors show three winning playbooks: JAG = expert exercise Reels with a recognizable cover system (23K median views); Spear = premium people-and-press storytelling with carousels (1.95×); Professional = raw, relatable moments that can go viral (745K views) plus heavy Collabs and location tags.</t>
  </si>
  <si>
    <t>•  Community management is the fastest win: nobody in the market replies well or fast. PT City already replies most often (39%) but with emoji-only answers, and it misses the questions that turn into bookings (location, insurance, symptoms).</t>
  </si>
  <si>
    <t>•  Platforms: Instagram skews ~41 years on average, Facebook ~47 and YouTube ~46. Core PT patients (40–70) are best reached on Facebook and YouTube, with Instagram for brand and community and TikTok/LinkedIn for awareness and hiring.</t>
  </si>
  <si>
    <t>KPI targets (Instagram unless noted)</t>
  </si>
  <si>
    <t>Baseline (Oct 2026)</t>
  </si>
  <si>
    <t>30 days</t>
  </si>
  <si>
    <t>60 days</t>
  </si>
  <si>
    <t>90 days</t>
  </si>
  <si>
    <t>How measured</t>
  </si>
  <si>
    <t>Median engagement rate per post</t>
  </si>
  <si>
    <t>0.47%</t>
  </si>
  <si>
    <t>0.55%</t>
  </si>
  <si>
    <t>0.70%</t>
  </si>
  <si>
    <t>0.85%</t>
  </si>
  <si>
    <t>(likes+comments)/followers, Instagram</t>
  </si>
  <si>
    <t>4.4</t>
  </si>
  <si>
    <t>7</t>
  </si>
  <si>
    <t>10</t>
  </si>
  <si>
    <t>12+</t>
  </si>
  <si>
    <t>Reel likes ÷ plays × 1000</t>
  </si>
  <si>
    <t>2,142</t>
  </si>
  <si>
    <t>2,500</t>
  </si>
  <si>
    <t>3,000</t>
  </si>
  <si>
    <t>4,000</t>
  </si>
  <si>
    <t>Instagram Insights</t>
  </si>
  <si>
    <t>3,957</t>
  </si>
  <si>
    <t>4,150</t>
  </si>
  <si>
    <t>4,400</t>
  </si>
  <si>
    <t>4,700</t>
  </si>
  <si>
    <t>Reply rate to audience comments</t>
  </si>
  <si>
    <t>39%</t>
  </si>
  <si>
    <t>80%</t>
  </si>
  <si>
    <t>90%</t>
  </si>
  <si>
    <t>95%</t>
  </si>
  <si>
    <t>Comments with a real (non-emoji) reply</t>
  </si>
  <si>
    <t>P1 response time (leads, complaints)</t>
  </si>
  <si>
    <t>~16 h</t>
  </si>
  <si>
    <t>Meta Business Suite inbox</t>
  </si>
  <si>
    <t>Social → booked evaluations / month</t>
  </si>
  <si>
    <t>Not tracked</t>
  </si>
  <si>
    <t>Track baseline</t>
  </si>
  <si>
    <t>+20%</t>
  </si>
  <si>
    <t>+40%</t>
  </si>
  <si>
    <t>UTM links + intake “How did you hear about us?”</t>
  </si>
  <si>
    <t>Saves + shares per post</t>
  </si>
  <si>
    <t>Not public</t>
  </si>
  <si>
    <t>Baseline</t>
  </si>
  <si>
    <t>+25%</t>
  </si>
  <si>
    <t>+50%</t>
  </si>
  <si>
    <t>90-day action plan</t>
  </si>
  <si>
    <t>Phase</t>
  </si>
  <si>
    <t>When</t>
  </si>
  <si>
    <t>Action</t>
  </si>
  <si>
    <t>Deliverable</t>
  </si>
  <si>
    <t>Days 1–30: Fix the foundation</t>
  </si>
  <si>
    <t>Week 1</t>
  </si>
  <si>
    <t>Turn on Instant reply, FAQ buttons, Away message, Hidden Words; build Saved Replies from the template library; set up Inbox labels = audience categories</t>
  </si>
  <si>
    <t>Automation live + labels</t>
  </si>
  <si>
    <t>Rewrite bio; add highlights: Book · Insurance · Locations · Results · Team · Careers · Teletherapy; add UTM links in Linktree</t>
  </si>
  <si>
    <t>New profile</t>
  </si>
  <si>
    <t>Week 2</t>
  </si>
  <si>
    <t>Design the cover system + 4 series templates (Fix it in 30s, NYC Life Pain, Meet your PT, Clinic of the Month); swap AI/stock statics for staff photo shoots at 2 clinics</t>
  </si>
  <si>
    <t>Brand kit v2</t>
  </si>
  <si>
    <t>Week 2–4</t>
  </si>
  <si>
    <t>Publish 3 Reels + 2 carousels/week at 6–9pm ET (Thu–Sun focus); captions ≤ 60 words, 3–5 local hashtags</t>
  </si>
  <si>
    <t>Content team</t>
  </si>
  <si>
    <t>20 posts</t>
  </si>
  <si>
    <t>Week 3</t>
  </si>
  <si>
    <t>Audit boosted posts; rebuild ads with 3-mile clinic radius, 30–65 age band; boost only top 10% organic Reels</t>
  </si>
  <si>
    <t>New ad sets</t>
  </si>
  <si>
    <t>Days 31–60: Grow &amp; prove</t>
  </si>
  <si>
    <t>Week 5–8</t>
  </si>
  <si>
    <t>Launch patient success story series (2/month) + Google review push via DM follow-up template</t>
  </si>
  <si>
    <t>4 stories, +20 reviews</t>
  </si>
  <si>
    <t>Start Facebook albums/Reels (same content, no hashtags) + YouTube Shorts; 1 long-form “exercise at home” video every 2 weeks</t>
  </si>
  <si>
    <t>FB + YT live</t>
  </si>
  <si>
    <t>Week 6</t>
  </si>
  <si>
    <t>Collab posts with 2 local partners/month (Crunch, YMCA, run clubs, schools); comment-keyword campaign (“Comment LOCATION”)</t>
  </si>
  <si>
    <t>4 Collabs</t>
  </si>
  <si>
    <t>Week 8</t>
  </si>
  <si>
    <t>Mid-point review: ER by format/theme/slot vs baseline; drop the bottom 20% of formats</t>
  </si>
  <si>
    <t>Review deck</t>
  </si>
  <si>
    <t>Days 61–90: Scale</t>
  </si>
  <si>
    <t>Week 9–12</t>
  </si>
  <si>
    <t>Scale winning series; monthly “Work at PT of The City” recruiting content + LinkedIn page activity</t>
  </si>
  <si>
    <t>Content + HR</t>
  </si>
  <si>
    <t>Recruiting series</t>
  </si>
  <si>
    <t>TikTok: repurpose top Reels (no watermark) 3×/week; test 2 trend formats with staff</t>
  </si>
  <si>
    <t>Videographer</t>
  </si>
  <si>
    <t>TikTok channel</t>
  </si>
  <si>
    <t>Week 12</t>
  </si>
  <si>
    <t>Re-run this competitor analysis; compare KPIs to targets; set Q2 plan</t>
  </si>
  <si>
    <t>Updated report</t>
  </si>
  <si>
    <t>Weekly content calendar template</t>
  </si>
  <si>
    <t>Series / theme</t>
  </si>
  <si>
    <t>Example</t>
  </si>
  <si>
    <t>Post time (ET)</t>
  </si>
  <si>
    <t>Story only</t>
  </si>
  <si>
    <t>Poll / Q&amp;A box</t>
  </si>
  <si>
    <t>“Where does it hurt this week?” poll</t>
  </si>
  <si>
    <t>Morning + evening</t>
  </si>
  <si>
    <t>Reel</t>
  </si>
  <si>
    <t>Fix it in 30s (education, clinician on camera)</t>
  </si>
  <si>
    <t>“Stairs hurt your knees? Try this” (20–40 s)</t>
  </si>
  <si>
    <t>6–9 pm</t>
  </si>
  <si>
    <t>NYC Life Pain guide</t>
  </si>
  <si>
    <t>“Desk-to-subway: 5 stretches for your commute” (6 slides)</t>
  </si>
  <si>
    <t>Team / humor / challenge</t>
  </si>
  <si>
    <t>“Front desk vs PT: guess the exercise”</t>
  </si>
  <si>
    <t>Carousel or photo album</t>
  </si>
  <si>
    <t>Community / clinic news</t>
  </si>
  <si>
    <t>Workshop recap, new hours, Clinic of the Month</t>
  </si>
  <si>
    <t>Patient story / results</t>
  </si>
  <si>
    <t>“Laura’s back-pain journey in 45 seconds”</t>
  </si>
  <si>
    <t>Story</t>
  </si>
  <si>
    <t>Reshare patient tags + weekly tip</t>
  </si>
  <si>
    <t>Sticker: “Book for next week”</t>
  </si>
  <si>
    <t>Average user age by platform + what content works on each</t>
  </si>
  <si>
    <t>US adults. Pew Research Center usage by age band; average age estimated with SUMPRODUCT over band mid-points</t>
  </si>
  <si>
    <t>Inputs: US adult population by age band (millions, Census 2024 estimate, rounded) and band mid-point age</t>
  </si>
  <si>
    <t>18–29</t>
  </si>
  <si>
    <t>30–49</t>
  </si>
  <si>
    <t>50–64</t>
  </si>
  <si>
    <t>65+</t>
  </si>
  <si>
    <t>Population (millions)</t>
  </si>
  <si>
    <t>Mid-point age</t>
  </si>
  <si>
    <t>65+ mid-point assumes most 65+ users are 65–85</t>
  </si>
  <si>
    <t>% of US adults in each age band who use the platform (Pew) → estimated average user age</t>
  </si>
  <si>
    <t>Platform</t>
  </si>
  <si>
    <t>All adults</t>
  </si>
  <si>
    <t>Est. users (millions)</t>
  </si>
  <si>
    <t>Est. average age</t>
  </si>
  <si>
    <t>Share of users 50+</t>
  </si>
  <si>
    <t>Facebook</t>
  </si>
  <si>
    <t>YouTube</t>
  </si>
  <si>
    <t>WhatsApp</t>
  </si>
  <si>
    <t>Pinterest (2023 (pub. Jan 2024))</t>
  </si>
  <si>
    <t>LinkedIn (2023 (pub. Jan 2024))</t>
  </si>
  <si>
    <t>X (Twitter)</t>
  </si>
  <si>
    <t>Instagram</t>
  </si>
  <si>
    <t>TikTok</t>
  </si>
  <si>
    <t>Threads</t>
  </si>
  <si>
    <t>Reddit</t>
  </si>
  <si>
    <t>Snapchat</t>
  </si>
  <si>
    <t>Pew 2025 survey (Feb–Jun 2025, n=5,022) except LinkedIn &amp; Pinterest (2023 wave). Averages cover adults 18+ only; teens would lower TikTok, Snapchat and YouTube further. Core PT patients (40–70) are best matched by Facebook, YouTube, WhatsApp, Pinterest and LinkedIn.</t>
  </si>
  <si>
    <t>What content works / what flops, by platform (for a NYC PT clinic)</t>
  </si>
  <si>
    <t>Fit for PT City</t>
  </si>
  <si>
    <t>Works best</t>
  </si>
  <si>
    <t>OK</t>
  </si>
  <si>
    <t>Flops (skip)</t>
  </si>
  <si>
    <t>Cadence</t>
  </si>
  <si>
    <t>Role</t>
  </si>
  <si>
    <t>Very high: oldest audience; best match for 45–75 PT patients, referrals &amp; reviews</t>
  </si>
  <si>
    <t>Photo albums (top format for small pages), Reels, patient success stories, local news (new clinic, hours), community events, Facebook Groups for neighborhoods</t>
  </si>
  <si>
    <t>Single photos, short native video</t>
  </si>
  <si>
    <t>Link posts (lowest engagement of any format), IG cross-posts full of hashtags, text-heavy flyers</t>
  </si>
  <si>
    <t>4–5 posts/week + Reels cross-post</t>
  </si>
  <si>
    <t>Patient acquisition 45+, reviews, retargeting ads</t>
  </si>
  <si>
    <t>High: 84% of US adults; 64% of 65+</t>
  </si>
  <si>
    <t>Search-driven how-to videos (“knee arthritis exercises at home”, 6–15 min), condition explainers, Shorts recut from Reels</t>
  </si>
  <si>
    <t>Clinic tours, therapist intros</t>
  </si>
  <si>
    <t>Promo/ad-style videos without search titles; very long unedited lectures</t>
  </si>
  <si>
    <t>1 long-form/2 weeks + 3 Shorts/week</t>
  </si>
  <si>
    <t>Evergreen search traffic → website bookings</t>
  </si>
  <si>
    <t>High: 25–44 core, strong with NYC commuters &amp; active adults</t>
  </si>
  <si>
    <t>Reels with a real therapist on camera (reach), carousels with step-by-step exercises/myths (saves &amp; shares; highest ER in benchmarks), team/humor, local news, Collabs</t>
  </si>
  <si>
    <t>Single photos of real people/events, Stories (polls, Q&amp;A boxes)</t>
  </si>
  <si>
    <t>AI/stock graphics with paragraphs of text, holiday/awareness cards, #fyp hashtags, hard-sell captions</t>
  </si>
  <si>
    <t>4–5 feed posts/week (3 Reels + 2 carousels) + daily Stories</t>
  </si>
  <si>
    <t>Brand, community, recruitment, DM leads</t>
  </si>
  <si>
    <t>Medium: younger (63% of 18–29), strong for awareness &amp; recruiting</t>
  </si>
  <si>
    <t>Native 20–60s clips: “PT reacts”, myth-busting, POV clinic humor, 1-exercise fixes, trends with staff</t>
  </si>
  <si>
    <t>Patient-journey mini-series</t>
  </si>
  <si>
    <t>Polished ads, static slideshows without a hook, reposts with IG watermark</t>
  </si>
  <si>
    <t>3–5 posts/week (repurpose Reels without watermark)</t>
  </si>
  <si>
    <t>Awareness, young athletes, hiring new grads</t>
  </si>
  <si>
    <t>LinkedIn</t>
  </si>
  <si>
    <t>Medium: B2B (doctors, employers, PT talent)</t>
  </si>
  <si>
    <t>Hiring posts, staff achievements/CEUs, clinic openings, document carousels for employers (ergonomics), referral-partner content</t>
  </si>
  <si>
    <t>Company news</t>
  </si>
  <si>
    <t>Patient-facing memes &amp; exercise Reels</t>
  </si>
  <si>
    <t>2 posts/week</t>
  </si>
  <si>
    <t>Recruiting, physician &amp; employer referrals</t>
  </si>
  <si>
    <t>Pinterest</t>
  </si>
  <si>
    <t>Low–medium: older, female-skewed planners</t>
  </si>
  <si>
    <t>Tall exercise infographics linking to blog pages</t>
  </si>
  <si>
    <t>Video pins</t>
  </si>
  <si>
    <t>Promo posts</t>
  </si>
  <si>
    <t>Batch 10–20 pins/month</t>
  </si>
  <si>
    <t>Evergreen website traffic</t>
  </si>
  <si>
    <t>Utility channel</t>
  </si>
  <si>
    <t>Appointment reminders, broadcast updates to opted-in patients, Spanish-language support</t>
  </si>
  <si>
    <t>Unsolicited promos</t>
  </si>
  <si>
    <t>As needed</t>
  </si>
  <si>
    <t>Retention &amp; reminders</t>
  </si>
  <si>
    <t>Snapchat / Reddit / X / Threads</t>
  </si>
  <si>
    <t>Low priority</t>
  </si>
  <si>
    <t>X: local news, Threads: repurpose IG text</t>
  </si>
  <si>
    <t>Ads aimed at older patients</t>
  </si>
  <si>
    <t>Optional</t>
  </si>
  <si>
    <t>Format benchmarks behind these calls</t>
  </si>
  <si>
    <t>Platform / scope</t>
  </si>
  <si>
    <t>Instagram (all industries)</t>
  </si>
  <si>
    <t>Avg ER per post</t>
  </si>
  <si>
    <t>Socialinsider 2025</t>
  </si>
  <si>
    <t>0.50%</t>
  </si>
  <si>
    <t>0.45%</t>
  </si>
  <si>
    <t>Instagram (all industries, H2 2025)</t>
  </si>
  <si>
    <t>Carousel / Reel / Image</t>
  </si>
  <si>
    <t>2.9% / 2.7% / 2.3%</t>
  </si>
  <si>
    <t>Dash Social H2 2025</t>
  </si>
  <si>
    <t>Instagram (healthcare)</t>
  </si>
  <si>
    <t>Carousel &gt; Reel &gt; photo</t>
  </si>
  <si>
    <t>Engagement rank</t>
  </si>
  <si>
    <t>Carousels lead</t>
  </si>
  <si>
    <t>Hootsuite healthcare 2025</t>
  </si>
  <si>
    <t>Facebook (all industries)</t>
  </si>
  <si>
    <t>Album / Reel / Image / Link</t>
  </si>
  <si>
    <t>0.18% / 0.18% / 0.15% / 0.05%</t>
  </si>
  <si>
    <t>Facebook (healthcare)</t>
  </si>
  <si>
    <t>Album &gt; photo &gt; video &gt; link &gt; status</t>
  </si>
  <si>
    <t>Albums lead</t>
  </si>
  <si>
    <t>TikTok (wellness)</t>
  </si>
  <si>
    <t>Video</t>
  </si>
  <si>
    <t>ER (by views)</t>
  </si>
  <si>
    <t>4.7%</t>
  </si>
  <si>
    <t>Dash Social 2025 wellness</t>
  </si>
  <si>
    <t>Instagram (our competitor set)</t>
  </si>
  <si>
    <t>Reel / Carousel / Image</t>
  </si>
  <si>
    <t>Median ER lift</t>
  </si>
  <si>
    <t>See Task 6 sheet</t>
  </si>
  <si>
    <t>This analysis</t>
  </si>
  <si>
    <t>Our own Instagram data: which format wins per competitor (median ER lift)</t>
  </si>
  <si>
    <t>Carousels</t>
  </si>
  <si>
    <t>Single images</t>
  </si>
  <si>
    <t>Winner</t>
  </si>
  <si>
    <t>Brand</t>
  </si>
  <si>
    <t>Weekday</t>
  </si>
  <si>
    <t>Hour (ET)</t>
  </si>
  <si>
    <t>Engagement rate</t>
  </si>
  <si>
    <t>Views per follower</t>
  </si>
  <si>
    <t>Caption words</t>
  </si>
  <si>
    <t>Hashtags</t>
  </si>
  <si>
    <t>Emojis</t>
  </si>
  <si>
    <t>Has CTA</t>
  </si>
  <si>
    <t>Has question</t>
  </si>
  <si>
    <t>Location tag</t>
  </si>
  <si>
    <t>Collab with</t>
  </si>
  <si>
    <t>First line (hook)</t>
  </si>
  <si>
    <t>Post link</t>
  </si>
  <si>
    <t>Caption</t>
  </si>
  <si>
    <t>pt_city</t>
  </si>
  <si>
    <t>2026-10-12</t>
  </si>
  <si>
    <t>Yes</t>
  </si>
  <si>
    <t>No</t>
  </si>
  <si>
    <t>New York City</t>
  </si>
  <si>
    <t>This World Arthritis Day, take a proactive step toward protecting your mobility.</t>
  </si>
  <si>
    <t>https://www.instagram.com/p/DeZ6krAx6Oz/</t>
  </si>
  <si>
    <t>This World Arthritis Day, take a proactive step toward protecting your mobility.
Our Orthopedic Physical Therapy team uses evidence-based strengthening, hands-on joint mobilization, and movement retraining to help you manage arthritis pain effectively.
How Orthopedic PT helps with arthritis:
1-Rebuilds muscle support around affected joints
2-Relieves stiffness to improve range of motion
3-Keeps you active and independent without unnecessary strain
Start with a targeted joint evaluation at PT of The City:
👉🏻ptofthecity.com/booking | 📞 (718) 648-0888</t>
  </si>
  <si>
    <t>2026-10-09</t>
  </si>
  <si>
    <t>Expert support, right when you need it.</t>
  </si>
  <si>
    <t>https://www.instagram.com/p/DeSkHktqU6l/</t>
  </si>
  <si>
    <t>Expert support, right when you need it.
From everyday aches to questions about movement, having a PT close by means you don’t have to wait for something to become a bigger issue before getting the care you need.
Ready to get moving?
📞718-648-0888
🔗ptofthecity.com/booking
Book your session today!
#physicaltherapy #nyctherapy #nycclinic #treatment #healthcare</t>
  </si>
  <si>
    <t>What’s inside our physical therapy clinics?👀
Our spaces are designed to help you move better, feel stronger, and get back to doing more of what you love.
Come take a look around.
Ready to get moving?
📞718-648-0888
🔗ptofthecity.com/booking
Book your session today!
#dpt #physicaltherapy #nyctherapy #rehabilitation #recovery</t>
  </si>
  <si>
    <t>2026-10-05</t>
  </si>
  <si>
    <t>Recovering from an injury can be challenging, but you don’t have to navigate it alone.</t>
  </si>
  <si>
    <t>https://www.instagram.com/p/DeIafcQKLs8/</t>
  </si>
  <si>
    <t>Recovering from an injury can be challenging, but you don’t have to navigate it alone.
We’re here to support you every step of the way and help you get back to doing what you love.
It’s time to get the care you deserve. 💙
Ready to get moving?
📞 718-648-0888
🔗ptofthecity.com/booking
Book your session today</t>
  </si>
  <si>
    <t>2026-10-03</t>
  </si>
  <si>
    <t>A great day of movement, recovery, and better ways to stay active! 🏋🏻‍♀️💪</t>
  </si>
  <si>
    <t>https://www.instagram.com/p/DeCeWVRKJfJ/</t>
  </si>
  <si>
    <t>A great day of movement, recovery, and better ways to stay active! 🏋🏻‍♀️💪
We had a great time connecting with the Crunch Fitness community in Inwood, sharing helpful tips on injury prevention, sports rehabilitation, and moving with confidence.
Thank you to everyone who stopped by, joined the conversation, and made the event a great one!
#ptofthecity #physicaltherapy #sportsrehab #nycphysicaltherapy</t>
  </si>
  <si>
    <t>2026-09-29</t>
  </si>
  <si>
    <t>You found the kind of care you didn’t know you were missing💚💙</t>
  </si>
  <si>
    <t>https://www.instagram.com/p/Dd4vFInxgnz/</t>
  </si>
  <si>
    <t>You found the kind of care you didn’t know you were missing💚💙
Because when your physical therapy team truly listens, understands, and supports you, your recovery feels different
At PT of The City, we’re here to make you feel heard, cared for, and confident every step of the way.
📍Find a PT of The City location near you and let’s get moving!
https://www.ptofthecity.com/clinics/all 
#ptofthecity #physicaltherapy #patientcare #ptjourney #nycphysicaltherapy</t>
  </si>
  <si>
    <t>Flatbush , Brooklyn</t>
  </si>
  <si>
    <t>flatbushymca</t>
  </si>
  <si>
    <t>Feeling stiff after work? Dealing with back or shoulder pain or posture concerns after sitting all day?</t>
  </si>
  <si>
    <t>https://www.instagram.com/p/Dd4CaQgK_i_/</t>
  </si>
  <si>
    <t>Feeling stiff after work? Dealing with back or shoulder pain or posture concerns after sitting all day?
Join us at the Flatbush YMCA for a community workshop with Dr. Mohamed Abdelfattah, PT Supervisor at PT of The City, on Back Pain &amp; Posture: Tips for Work and Daily Life — with practical tips that fit into a busy New Yorker’s lifestyle.
📍 Flatbush YMCA
🏥 822 Flatbush Ave, Brooklyn, NY 11226
📅 September 30
⏰ 12:00–1:00 PM
Come by and learn how small changes can make a difference to your back. 👌🏻</t>
  </si>
  <si>
    <t>2026-09-28</t>
  </si>
  <si>
    <t>Our therapists combine hands-on techniques with personalized treatment plans to help you move better, feel stronger, and get back to what yo</t>
  </si>
  <si>
    <t>https://www.instagram.com/p/Dd16SwMRO3y/</t>
  </si>
  <si>
    <t>Our therapists combine hands-on techniques with personalized treatment plans to help you move better, feel stronger, and get back to what you love.
Your recovery is in good hands. 💙
Ready to get moving?
📞 718-648-0888
🔗ptofthecity.com/booking
Book your session today!</t>
  </si>
  <si>
    <t>2026-09-25</t>
  </si>
  <si>
    <t>Take a peek into this patient’s journey and recovery here at PT Of The City.</t>
  </si>
  <si>
    <t>https://www.instagram.com/p/DduuC2xqHsN/</t>
  </si>
  <si>
    <t>Take a peek into this patient’s journey and recovery here at PT Of The City.
Every step of recovery matters. Our team is here to provide personalized care, support, and the right treatment plan to help patients move, feel, and live better.
Ready to get moving?
📞 718-648-0888
🔗ptofthecity.com/booking
Book your session today!</t>
  </si>
  <si>
    <t>2026-09-23</t>
  </si>
  <si>
    <t>Greenpoint, Brooklyn, New York</t>
  </si>
  <si>
    <t>Does your back hurt after sitting at your desk all day?</t>
  </si>
  <si>
    <t>https://www.instagram.com/p/DdpHWM_Rgd0/</t>
  </si>
  <si>
    <t>Does your back hurt after sitting at your desk all day?
Join us at the Greenpoint YMCA for a community workshop with Dr. Mohamed Abdelfattah, PT Supervisor at PT of The City, on Back Pain &amp; Posture: Tips for Work and Daily Life — with a focus on the everyday habits, posture, and movement that matter in a busy New York lifestyle.
📍 Greenpoint YMCA
🏥 157 Greenpoint Ave, Brooklyn, NY 11222
📅 September 25
⏰ 11:45 AM–1:30 PM
Bring your questions and learn practical tips you can use throughout your workday and daily routine. 👌🏻</t>
  </si>
  <si>
    <t>The best way to achieve long-lasting results is to stick with your treatment plan from start to finish.
Consistency gives your body the time it needs to heal, build strength, and make lasting progress.
Ready to get moving?
📞718-648-0888
🔗 ptofthecity.com/booking
Book your session today!</t>
  </si>
  <si>
    <t>2026-09-19</t>
  </si>
  <si>
    <t>At PT of The City, we’re always incorporating the latest technology and treatment techniques to support our patients’ recovery.</t>
  </si>
  <si>
    <t>https://www.instagram.com/p/DdezwfhRSJW/</t>
  </si>
  <si>
    <t>At PT of The City, we’re always incorporating the latest technology and treatment techniques to support our patients’ recovery.
Our electrodes use gentle electrical stimulation to help manage pain, activate muscles, and complement your treatment plan.
Ready to get moving?
📞718-648-0888
🔗 ptofthecity.com/booking
Book your session today!
#physicaltherapy #estim #painreliet #electrodes #recovery</t>
  </si>
  <si>
    <t>New York Midtown</t>
  </si>
  <si>
    <t>Your neighborhood. Your care. Your recovery.🫶🏻</t>
  </si>
  <si>
    <t>https://www.instagram.com/p/DdcTKWHxW2N/</t>
  </si>
  <si>
    <t>Your neighborhood. Your care. Your recovery.🫶🏻
Take a look at why this patient chose PT of The City for their physical therapy journey.
Ready to get moving?
📞718-648-0888
 🔗 ptofthecity.com/booking
Book your session today!</t>
  </si>
  <si>
    <t>What makes patients choose Occupational Therapy at our Sheepshead Bay clinic?
Our patients can tell you better than we ever could.
With a 4.9-star Google rating, we’re proud to help people make everyday activities easier through personalized, one-on-one occupational therapy.
Watch what our patients have to say, then book your Occupational Therapy evaluation at our Sheepshead Bay clinic.
📍1514 Voorhies Ave, Brooklyn, NY 11235, Ext. 101
📅 Schedule your evaluation: https://www.ptofthecity.com/booking
📞 (718) 648-0888
Occupational Therapy at our Sheepshead Bay clinic is covered by:
✔️ Medicare
✔️ GHI PPO
✔️ 1199 PPO
✔️ BCBS PPO
✔️ Oxford PPO
✔️ WC/NF
#occupationaltherapy #mobility #physicaltherapy</t>
  </si>
  <si>
    <t>2026-09-16</t>
  </si>
  <si>
    <t>Feeling better is great progress, but it doesn’t always mean you’re done with PT.</t>
  </si>
  <si>
    <t>https://www.instagram.com/p/DdXIXB0R3l0/</t>
  </si>
  <si>
    <t>Feeling better is great progress, but it doesn’t always mean you’re done with PT.
The goal? Not just less pain, but stronger, better movement that lasts.
Ready to get moving?
📞718-648-0888
🔗 ptofthecity.com/booking 
Book your next session today!
#physicaltherapy #painrelief #injuryprevention
#DPT #physicaltherapist</t>
  </si>
  <si>
    <t>2026-09-15</t>
  </si>
  <si>
    <t>🏥 Big news, New York.</t>
  </si>
  <si>
    <t>https://www.instagram.com/p/DdT8DooK7Cq/</t>
  </si>
  <si>
    <t>🏥 Big news, New York.
PT of The City is now officially part of the Mount Sinai Trusted Rehabilitation Provider Network—bringing hospital-grade physical therapy standards to your neighborhood.
Whether you’re recovering from surgery, managing chronic pain, or dealing with a sports injury—our licensed therapists deliver the level of care Mount Sinai is known for.
✅ Mount Sinai Trusted Rehabilitation Provider
✅ 30+ Locations Across New York City
✅ Most Insurances Accepted
✅ Free Initial Consultation - Limited Spots
👉 Book your FREE consultation now—spots are filling fast.
https://www.ptofthecity.com/free-offer</t>
  </si>
  <si>
    <t>Why do pelvic floor symptoms come back after a good week?
😤 It can be frustrating—but it doesn’t mean you’ve lost your progress.
〰️ Pelvic floor recovery isn’t always a straight line.
⚖️ Some weeks you’ll feel stronger. Other days, symptoms may return after increased activity, stress, or changes in your routine. That doesn’t mean you’ve gone backward—it means your body is still healing and adapting.
💪 The most important part of recovery is staying consistent with your treatment plan. Every session, every exercise, and every step forward counts.
🌟 One setback doesn’t erase the progress you’ve already made.
🤝 Let’s build a treatment plan that keeps you moving forward.
📅 Book your evaluation: https://www.ptofthecity.com/booking
📞 Call us: (718) 648-0888
#pelvicfloortherapy #physicaltherapy #recovery #pelvicfloorrehabilitation</t>
  </si>
  <si>
    <t>2026-09-11</t>
  </si>
  <si>
    <t>If your workday is filled with emails, meetings, and hours at a desk, your neck, back, and posture are probably feeling it too.</t>
  </si>
  <si>
    <t>https://www.instagram.com/p/DdKR4VIjvRD/</t>
  </si>
  <si>
    <t>If your workday is filled with emails, meetings, and hours at a desk, your neck, back, and posture are probably feeling it too.
Instead of pushing through the discomfort, use your lunch break for a Teletherapy Physical Therapy session.
Choose the session that fits your schedule—30 minutes for a quick reset or a full 1-hour session for more focused care.
Our team can help relieve stiffness, improve mobility, and address the aches that build up from long hours of sitting, so you can get back to your day feeling better.
No commute. No waiting until the end of the workday. Just expert care that fits your schedule.
📅 Book your evaluation: https://www.ptofthecity.com/teletherapy
📞 Call us: (718) 648-0888
#physicaltherapy #teletherapy #deskworkers #neckpain #backpain</t>
  </si>
  <si>
    <t>2026-09-10</t>
  </si>
  <si>
    <t>Big achievement, Jhanvi! 🎉👏</t>
  </si>
  <si>
    <t>https://www.instagram.com/p/DdHqB8CRwyZ/</t>
  </si>
  <si>
    <t>Big achievement, Jhanvi! 🎉👏
Jhanvi Jadav has officially earned her Pelvic Health Certification! 💪
Another certification, another level of expertise, and another reason for us to celebrate the amazing work she’s putting into her career.
Congratulations, Jhanvi! Keep growing, keep learning, keep making an impact! 💙</t>
  </si>
  <si>
    <t>2026-09-08</t>
  </si>
  <si>
    <t>When your favorite superhero walks into the clinic, you have to stop and say hi! 😍</t>
  </si>
  <si>
    <t>https://www.instagram.com/p/DdCkKBSRbVK/</t>
  </si>
  <si>
    <t>When your favorite superhero walks into the clinic, you have to stop and say hi! 😍
We got a special visit from one of our patient’s granddaughters, who showed up in her Power Rangers costume to celebrate National Power Rangers Day — and yes, she’s a HUGE fan! 🦸‍♀️
We love these little moments that bring some extra fun to the clinic. 💙
Happy National Power Rangers Day! ⚡️</t>
  </si>
  <si>
    <t>Today, we celebrate physical therapists who know that feeling better isn’t always the finish line.</t>
  </si>
  <si>
    <t>https://www.instagram.com/p/DdCOZcdqUgU/</t>
  </si>
  <si>
    <t>Today, we celebrate physical therapists who know that feeling better isn’t always the finish line.
They’re the ones who say, “Let’s keep going,” when you’re ready to stop — because they see the progress, the gaps, and what it takes to get you back to doing what you love.
Happy International Physical Therapy Day to the PTs who keep pushing for better.</t>
  </si>
  <si>
    <t>2026-09-07</t>
  </si>
  <si>
    <t>This Labor Day, remember: Workers’ Compensation may cover your physical therapy if you were injured at work.</t>
  </si>
  <si>
    <t>https://www.instagram.com/p/Dc_aVWbqh9q/</t>
  </si>
  <si>
    <t>This Labor Day, remember: Workers’ Compensation may cover your physical therapy if you were injured at work.
PT of The City accepts Workers’ Comp at all 32 NYC clinics, and our team can help with the authorization process so you know what’s needed to get started.
Not sure if your benefits cover PT?
We’ll check your benefits for free before your first visit.
📲 Check your coverage — link in bio.
Book your session: https://www.ptofthecity.com
📞 (718) 648-0888
#LaborDay #WorkersComp #PhysicalTherapy #nyc</t>
  </si>
  <si>
    <t>2026-09-04</t>
  </si>
  <si>
    <t>🚇 New Yorkers already spend enough time getting from point A to point B. Therapy shouldn’t be another trip across the city.</t>
  </si>
  <si>
    <t>https://www.instagram.com/p/Dc4VbtFRcSN/</t>
  </si>
  <si>
    <t>🚇 New Yorkers already spend enough time getting from point A to point B. Therapy shouldn’t be another trip across the city.
📍 With 32 locations across NYC, there’s a good chance PT of The City is already in your neighborhood—or close to where you work.
🩺 Expert Physical Therapy, Occupational Therapy, and Speech Therapy that’s convenient, accessible, and designed to fit into your day.
💳 We also accept all major insurance plans, making it even easier to get the care you need.
💬 Not sure which clinic is closest to you? Send us a DM, and we’ll help you find the nearest PT of The City location.
📅 Book your evaluation: https://www.ptofthecity.com/booking
📞 Call us: (718) 648-0888
#physicaltherapy #occupationaltherapy #speechtherapy #nyc</t>
  </si>
  <si>
    <t>2026-09-03</t>
  </si>
  <si>
    <t>Here’s a look back at our Mobility &amp; Flexibility Workshop at YMCA Greenpoint with Dr. Mohamed Abdel Fattah.</t>
  </si>
  <si>
    <t>https://www.instagram.com/p/Dc1yHNGRM25/</t>
  </si>
  <si>
    <t>Here’s a look back at our Mobility &amp; Flexibility Workshop at YMCA Greenpoint with Dr. Mohamed Abdel Fattah.
The session covered practical stretches, mobility techniques, and useful tips to help participants improve their flexibility, joint mobility, and range of motion.
Thank you to everyone who joined us and took part in the session!</t>
  </si>
  <si>
    <t>2026-08-30</t>
  </si>
  <si>
    <t>Hell's Kitchen</t>
  </si>
  <si>
    <t>🎉 Big cheers to our Hell’s Kitchen team for being named PT of The City’s Clinic of the Month!</t>
  </si>
  <si>
    <t>https://www.instagram.com/p/DcrPVTMRxq2/</t>
  </si>
  <si>
    <t>🎉 Big cheers to our Hell’s Kitchen team for being named PT of The City’s Clinic of the Month!
A positive environment, strong teamwork, and genuine care for every patient make this team stand out. Their dedication, hard work, and attention to detail make a big difference every day. ⭐
Hell’s Kitchen, this one’s for you! 👏
Keep inspiring, caring, and making a difference!
🔥 Stay tuned to see who takes the spotlight as our August Clinic of the Month!</t>
  </si>
  <si>
    <t>2026-08-28</t>
  </si>
  <si>
    <t>🚨 FREE WORKSHOP ALERT!</t>
  </si>
  <si>
    <t>https://www.instagram.com/p/DclMTULqSc3/</t>
  </si>
  <si>
    <t>🚨 FREE WORKSHOP ALERT!
Mobility &amp; Flexibility for All Ages is coming to YMCA
Greenpoint!
Join Dr. Mohamed Abdelfattah for an interactive workshop where
you’ll learn simple, practical exercises to work on mobility,
flexibility, and joint movement—no matter your age or
fitness level.
📅 Date: Fri Aug 28th, 2026
⏰ Time: 11:45 AM – 1:30 PM
📍 YMCA Greenpoint
99 Meserole Ave, Brooklyn, NY 11222
FREE WORKSHOP &amp; OPEN TO ALL 🤗
Bring yourself, wear something comfortable, and come
ready to move!</t>
  </si>
  <si>
    <t>2026-08-24</t>
  </si>
  <si>
    <t>With PT of The City TELETHERAPY, keeping up with your treatment plan is easier than ever.</t>
  </si>
  <si>
    <t>https://www.instagram.com/p/Dcb9uO6R0uw/</t>
  </si>
  <si>
    <t>With PT of The City TELETHERAPY, keeping up with your treatment plan is easier than ever.
Whether you’re following up on your progress, checking in with your therapist, or continuing your personalized treatment plan, you can do it through a 30-minute or 1-hour virtual session—wherever you are.
The same one-on-one care. The same licensed therapists. Just a more flexible way to stay consistent with your therapy.
📩 Have questions about your first TELETHERAPY session? Send us a DM, and we’ll walk you through everything you need to get started.
📅 Book your evaluation today: https://www.ptofthecity.com/teletherapy
#teletherapy #physicaltherapy #occupationaltherapy #NYC</t>
  </si>
  <si>
    <t>2026-08-21</t>
  </si>
  <si>
    <t>Pelvic floor therapy is often misunderstood.</t>
  </si>
  <si>
    <t>https://www.instagram.com/p/DcUXFMsq9Fd/</t>
  </si>
  <si>
    <t>Pelvic floor therapy is often misunderstood.
🚫 It’s not only for after pregnancy, not only for women, and not something you should wait to “save for later.”
🧘‍♀️ Your pelvic floor is a key part of your core system, working with your abs, back, and diaphragm to support bladder control, core stability, posture, and everyday movement. When it isn’t functioning well, it can affect everything from exercise to comfort to confidence.
🩺 If you’ve noticed leaks, pressure, pain, or weakness, don’t ignore it. Talk to our pelvic floor specialists and take the first step toward better support, strength, and control.
📅 Book your appointment today
🌐 https://www.ptofthecity.com/booking
📞 Or call us on (718) 648-0888
#pelvicfloor #pelvicmuscles #pelvicfloortreatment #physicaltherapy</t>
  </si>
  <si>
    <t>2026-08-20</t>
  </si>
  <si>
    <t>New York, New York</t>
  </si>
  <si>
    <t>Here’s what these orthopedic conditions have in common: they don’t just cause pain they can change the way your body moves.</t>
  </si>
  <si>
    <t>https://www.instagram.com/p/DcRnVvcxiws/</t>
  </si>
  <si>
    <t>Here’s what these orthopedic conditions have in common: they don’t just cause pain they can change the way your body moves.
Over time, your body starts compensating for the painful area, which can place extra stress on other joints and muscles. Orthopedic rehabilitation helps correct those movement patterns while treating the underlying condition.
The right treatment starts with the right diagnosis. Let our orthopedic team help you move with confidence again.
📅 Book your session at the nearest PT of The City clinic to you
🌐 https://www.ptofthecity.com/booking
📞 Or call us on (718) 648-0888
#orthopedicrehabilitation #musclestherapy #physicaltherapy</t>
  </si>
  <si>
    <t>2026-08-19</t>
  </si>
  <si>
    <t>If there’s one thing every New Yorker needs, it’s TELETHERAPY.</t>
  </si>
  <si>
    <t>https://www.instagram.com/p/DcOc_zLqyZw/</t>
  </si>
  <si>
    <t>If there’s one thing every New Yorker needs, it’s TELETHERAPY.
Life in New York doesn’t always leave room for another trip across the city—but taking care of yourself should never fall off your schedule.
That’s why PT of The City offers virtual Physical Therapy sessions that fit into your day, wherever you are.
✔️ Choose a 30-minute or 1-hour session
✔️ Meet one-on-one with a licensed therapist
✔️ Join your session from home, the office, or wherever works best for you
Scheduling is easy—pick a time, get ready, and we’ll take care of the rest.
Curious about your first TELETHERAPY session? Send us a DM, and we’ll walk you through everything you need to get started.
📅 Book your evaluation: https://www.ptofthecity.com/teletherapy
📞 Call us: (718) 648-0888
#therapy #teletherapy #NYC #physicaltherapy</t>
  </si>
  <si>
    <t>2026-08-18</t>
  </si>
  <si>
    <t>The surgery was successful... so why does my hand still feel like it can’t do the things it used to?”</t>
  </si>
  <si>
    <t>https://www.instagram.com/p/DcMfcP9RnoP/</t>
  </si>
  <si>
    <t>The surgery was successful... so why does my hand still feel like it can’t do the things it used to?”
If you’ve had hand surgery, you’re not imagining it.
Healing doesn’t always mean your strength, movement, or function have fully returned.
That’s why Occupational Therapy is such an important part of recovery.
Your OT treatment plan is designed to reduce stiffness, restore movement, rebuild strength, and help you get back to the everyday tasks that matter—whether that’s writing, cooking, working, or simply holding a cup without discomfort.
The surgery repaired your hand. Occupational Therapy helps you use it again.
📍 Occupational Therapy is available at our Sheepshead Bay clinic.
📅 Book your evaluation: https://www.ptofthecity.com/booking
📞 Call us: (718) 648-0888
#occupationaltherapy #handtherapy #recovery #rehabilitation</t>
  </si>
  <si>
    <t>2026-08-17</t>
  </si>
  <si>
    <t>🤔 Most people think Physical Therapy and Occupational Therapy are the same. They're not.</t>
  </si>
  <si>
    <t>https://www.instagram.com/p/DcJ5m21k-HH/</t>
  </si>
  <si>
    <t>🤔 Most people think Physical Therapy and Occupational Therapy are the same. They're not.
🤝 They work together—but they focus on different goals.
🧭 Not sure which therapy is right for you? Our team will help guide you to the care that best fits your needs.
📍 Occupational Therapy is available at our Sheepshead Bay clinic.
🏢 1514 Voorhies Ave, Brooklyn, NY 11235, Ext. 101
📅 Schedule your evaluation: https://zurl.co/cefTf
📞 Call us: (718) 648-0888
#physicaltherapy #occupationaltherapy #rehabilitation #recovery</t>
  </si>
  <si>
    <t>2026-08-16</t>
  </si>
  <si>
    <t>Why do patients choose Occupational Therapy at our Sheepshead Bay clinic?</t>
  </si>
  <si>
    <t>https://www.instagram.com/p/DcG0K3dKdIJ/</t>
  </si>
  <si>
    <t>Why do patients choose Occupational Therapy at our Sheepshead Bay clinic?
It starts with our 4.9-star Google rating—and the care behind it.
Our occupational therapists create personalized treatment plans designed to help you: 
✔️ Make everyday activities easier
 ✔️ Improve hand function and coordination
 ✔️ Build strength for daily tasks
 ✔️ Return to work, hobbies, and your daily routine
If you’re recovering from a stroke, surgery, a hand injury, or living with a neurological condition, our team is here to help.
📍PT of The City – Sheepshead Bay
 1514 Voorhies Ave, Brooklyn, NY 11235, Ext. 101
📅 Schedule your occupational therapy evaluation today: https://www.ptofthecity.com/booking
 📞 (718) 648-0888
Occupational Therapy at our Sheepshead Bay clinic is covered by: ✔️ Medicare
 ✔️ GHI PPO
 ✔️ 1199 PPO
 ✔️ BCBS PPO
 ✔️ Oxford PPO
 ✔️ WC/NF
#occupationaltherapy #sheepsheadbay #brooklyn #physicaltherapy #handtherapy</t>
  </si>
  <si>
    <t>2026-08-14</t>
  </si>
  <si>
    <t>🤕 The worst part of an injury or condition? Feeling like you’ve lost your independence.</t>
  </si>
  <si>
    <t>https://www.instagram.com/p/DcCHuGpkVuo/</t>
  </si>
  <si>
    <t>🤕 The worst part of an injury or condition? Feeling like you’ve lost your independence.
🧩 ​Needing help with basic things—like driving, making breakfast, or getting dressed—takes a toll. But “getting better” shouldn’t stop at just pain relief. It should mean getting you back.
🛠️ ​Occupational therapy doesn’t stop at healing—it gives you the tools to feel like yourself again in your day-to-day life.
👉 ​Check out the slides to see if OT is right for you.
🔔 ​We accept these insurances: Medicare, GHI PPO, 1199 PPO, BCBS PPO, Oxford PPO, and WC/NF.
📍 ​Book your appointment at our Sheepshead Bay clinic today!
🏢 Sheepshead Bay 1514 Voorhies Ave, Brooklyn, NY 11235, Ext 101.
📅 Schedule your evaluation today: https://www.ptofthecity.com/booking
📞 Or call us at (718) 648-0888
#physicaltherapy #occupationaltherapy #mobility</t>
  </si>
  <si>
    <t>2026-08-10</t>
  </si>
  <si>
    <t>Our favorite kind of “ghosting”? 👻</t>
  </si>
  <si>
    <t>https://www.instagram.com/p/Db34m0zRF6y/</t>
  </si>
  <si>
    <t>Our favorite kind of “ghosting”? 👻
When patients disappear because they’re busy living their best lives. 😂💙
#physicaltherapy #painrelief #injuryrecovery #wellness</t>
  </si>
  <si>
    <t>2026-08-07</t>
  </si>
  <si>
    <t>The worst thing you can do for a sports injury? Just “resting and waiting.” ❌</t>
  </si>
  <si>
    <t>https://www.instagram.com/p/DbwMnCKxItM/</t>
  </si>
  <si>
    <t>The worst thing you can do for a sports injury? Just “resting and waiting.” ❌
​When you get hurt, your body rushes to patch things up. But without proper guidance, it lays down weak, messy scar tissue. If you just wait for the pain to fade and jump right back in, that weak spot will catch up to you.
​True recovery isn’t passive. At PT of The City, we actively rebuild your movement:
​Phase 1: Reduce pain and swelling with targeted manual therapy.
​Phase 2: Break up stiff scar tissue and restore full mobility.
​Phase 3: Rebuild sport-specific strength, power, and agility.
​Phase 4: Test your mechanics so you return stronger than before.
​Stop waiting out the clock. Let’s bulletproof your comeback. 🦾
​🔗 Visit our website to book your evaluation and get back in the game
https://www.ptofthecity.com/booking
Or call us on (718) 648-0888
#sportsrehabilitation #sportstherapy #physicaltherapy #nyctrends</t>
  </si>
  <si>
    <t>2026-08-04</t>
  </si>
  <si>
    <t>Think your mobility is better than it actually is? 👀</t>
  </si>
  <si>
    <t>https://www.instagram.com/p/DboZJF5Rqwr/</t>
  </si>
  <si>
    <t>Think your mobility is better than it actually is? 👀
In honor of National Wellness Month, we challenged our team to put their mobility to the test with a few simple exercises... and let’s just say there were plenty of laughs 😅 (and a few surprises too! 🫣).
It was a fun reminder that wellness starts with how well you move—not just how you feel.
Curious about your own mobility? Let one of our physical therapists assess your movement and help you stay active, strong, and ready for whatever comes next. 💙
📅 Schedule your evaluation today: https://www.ptofthecity.com/booking
📞 Or call us at (718) 648-0888
📍Also you can send us a message, and we’ll help you find the nearest PT of The City clinic to schedule your mobility assessment.
#physicaltherapy #mobility #challenges #rehabilitation #exercises</t>
  </si>
  <si>
    <t>2026-08-01</t>
  </si>
  <si>
    <t>What an incredible day! 💙</t>
  </si>
  <si>
    <t>https://www.instagram.com/p/DbfXnVWq8d1/</t>
  </si>
  <si>
    <t>What an incredible day! 💙
Thank you to everyone who stopped by to meet the PT of The City team at the YMCA – Greenpoint Branch. It was a pleasure connecting with our community, answering your questions about physical therapy, and sharing how movement and expert care can help people stay active, recover, and feel their best.
We’re grateful for everyone who visited our booth and took the time to connect with us. Events like these remind us how important it is to bring physical therapy beyond the clinic and into the community.
We’ll see you at the next one! 👋
#physicaltherapy #NYC #NYClife #wellness</t>
  </si>
  <si>
    <t>This National Disability Independence Day, we’re cheering on the incredible strength and determination we see in our clinic every single day.
​Mobility is more than just movement—it’s freedom. That’s why PT of The City’s specialized rehabilitation programs focus on boosting strength, balance, and function, helping children and adults reclaim their confidence.
​Behind every new skill is a story of perseverance. We’re proud to walk alongside you for every single one.
​Here’s to more confidence, more freedom, and more life. 💙
to know more about our rehabilitation services, check our website 
www.ptofthecity.com</t>
  </si>
  <si>
    <t>2026-07-22</t>
  </si>
  <si>
    <t>It’s a common trap: you start feeling a little better, the sharp pain fades, and you think, “I can take it from here.”</t>
  </si>
  <si>
    <t>https://www.instagram.com/p/DbHNk3WKfKQ/</t>
  </si>
  <si>
    <t>It’s a common trap: you start feeling a little better, the sharp pain fades, and you think, “I can take it from here.”
​But did you know that nearly 70% of patients stop their physical therapy before completing their full plan of care? 
​While it’s tempting to stop once you feel “good enough,” cutting your treatment short often means leaving the root cause unaddressed. At PT of The City, we excel in guiding you through every phase of recovery—not just the initial pain relief. Finishing your plan ensures you build the lasting strength and mobility needed to prevent the injury from coming back. 
​With 32 locations across NYC and a massive clinical team, we have the professional depth to keep your progress on track until you’re 100% back to yourself.
​Don’t leave your recovery halfway. Finish strong.
🔗 ptofthecity.com/booking
​📍 Expert care in your neighborhood—from the Bronx to Brooklyn.</t>
  </si>
  <si>
    <t>2026-07-20</t>
  </si>
  <si>
    <t>Every step carries a story.</t>
  </si>
  <si>
    <t>https://www.instagram.com/p/DbBzxIxRtwW/</t>
  </si>
  <si>
    <t>Every step carries a story.
Some are filled with confidence. Others with fear.
When this patient came to PT of The City, every step was uncertain because of severe balance loss and weakness in both legs.
Through a personalized physical therapy program focused on improving strength, balance, and stability, we helped reduce the risk of falls and regain the strength needed to move safely and independently.
Moments like this are why our team shows up every single day.
Ready to write a different story?
Let the team at PT of The City help you build strength, improve balance, and move with confidence.
📅 Schedule your evaluation today: https://www.ptofthecity.com/booking
📞 Or call us at (718) 648-0888
#physicaltherapy #balance #fallprevention #rehabilitation #mobility</t>
  </si>
  <si>
    <t>2026-07-17</t>
  </si>
  <si>
    <t>That stiff joint, slower step, or feeling less steady isn’t just “getting older” you have to accept—it’s your body signaling it needs suppor</t>
  </si>
  <si>
    <t>https://www.instagram.com/p/Da6HFk4DPmF/</t>
  </si>
  <si>
    <t>That stiff joint, slower step, or feeling less steady isn’t just “getting older” you have to accept—it’s your body signaling it needs support.
Because staying active, mobile, and confident is what keeps your daily life yours.
At PT of The City, we help you hold on to that independence. Our focus is simple: improving balance, rebuilding strength, and making everyday movement feel safer and easier again.
So you can keep living life on your terms—not adjusting it around limitations.
Start building your strength and stability today—so you can keep moving with confidence tomorrow.
🔗 Book your appointment at the nearest PTOC clinic to you ptofthecity.com/booking
#ptofthecity #physicaltherapy #geriatrics</t>
  </si>
  <si>
    <t>2026-07-15</t>
  </si>
  <si>
    <t>If you’re living with lymphedema, you already know—every movement can feel heavier than it should. And at some point, you’ve probably wonder</t>
  </si>
  <si>
    <t>https://www.instagram.com/p/Da0_z7AR3lX/</t>
  </si>
  <si>
    <t>If you’re living with lymphedema, you already know—every movement can feel heavier than it should. And at some point, you’ve probably wondered… is movement helping, or making the swelling worse?
The truth is: movement does help—but only when it’s done right.
That’s where lymphedema rehabilitation makes the difference. We combine specialized Manual Lymphatic Drainage (MLD) with targeted decongestive exercises designed around your body—so every session works toward reducing swelling, not aggravating it.
With a large clinical team and 30+ locations, your care isn’t guesswork—it’s structured, guided, and built to help you feel lighter, move easier, and stay consistent.
Let’s get you moving—without the heaviness.
🔗 ptofthecity.com/booking
📍 Visit our nearest location to get expert lymphedema rehabilitation
Allerton • Bedford-Stuyvesant • Bensonhurst • Brownsville • Church Ave • Clinton Hill • Cobble Hill • Corona • Flatbush • Fordham • Inwood • Jamaica • Midtown • Midwood • Riverdale • Sheepshead Bay • Sugar Hill • Chelsea • Belmont
#ptofthecity #physicaltherapy #lymphedema</t>
  </si>
  <si>
    <t>Think a C-section “spares” your pelvic floor? Think again. ✋
It’s a common myth—but a C-section is still major surgery that impacts your entire core.
After pregnancy and healing, it’s common to experience scar tissue, muscle imbalances, leaking, pelvic pain, or feeling “disconnected” from your body.
At PT of The City, we excel in specialized Pelvic Floor Rehabilitation. We’ve built a private, female-led department focused on postpartum recovery and real support at every stage🌸
Our female experts use targeted manual therapy to release scar tissue and retrain your core to work together again—gently, privately, and effectively.
📍 Book your pelvic floor rehabilitation at the nearest PT of The City clinic to you:
🔗 ptofthecity.com/booking
#ptofthecity #pelvicfloortherapy #postpartum</t>
  </si>
  <si>
    <t>2026-07-10</t>
  </si>
  <si>
    <t>Mobility is the name of the game this week!🔥</t>
  </si>
  <si>
    <t>https://www.instagram.com/p/DaoKWQCxVJg/</t>
  </si>
  <si>
    <t>Mobility is the name of the game this week!🔥 
We’re pushing our team beyond their limits and testing movement on a whole new level💪🏻
#TeamChallenge #Mobility #Trending #FYP #Funny</t>
  </si>
  <si>
    <t>2026-07-09</t>
  </si>
  <si>
    <t>A New York day has a way of filling itself. 🏙️</t>
  </si>
  <si>
    <t>https://www.instagram.com/p/Dak_02tqVKa/</t>
  </si>
  <si>
    <t>A New York day has a way of filling itself. 🏙️
One meeting turns into three, traffic gets in the way, and before you know it, therapy gets pushed to next week.
That’s exactly why PT of The City Teletherapy exists.
Meet with licensed specialists, access a wide range of therapy services, and keep your care on track—from home, the office, or wherever your day takes you.
The same dedicated team. The same one-on-one support. Just a smarter way to fit therapy into your life.
Book now. We’ll take it from there.
Call us on: 📞 (718) 648-0888
 Or visit https://www.ptofthecity.com/teletherapy</t>
  </si>
  <si>
    <t>2026-07-08</t>
  </si>
  <si>
    <t>We’re Hiring!</t>
  </si>
  <si>
    <t>https://www.instagram.com/p/Dai4_XnPLKL/</t>
  </si>
  <si>
    <t>We’re Hiring!
Join our growing team and make a difference in the lives of patients across New York City! 💙
We’re currently hiring:
Physical Therapists (PT) – Astoria, Castle Hill, Riverdale &amp; Corona
Physical Therapist Assistants (PTA) – Astoria, Castle Hill, Riverdale &amp; Corona
Occupational Therapists (OT) – Bensonhurst, Sunset, Corona, Sheepshead, Riverdale &amp; Chelsea
Speech-Language Pathologists (SLP) – Bronx &amp; Queens
Homecare Physical Therapists – All 5 NYC Boroughs
What We Offer:
✔️ PTO &amp; Sick Leave
✔️ Health Insurance
✔️ Gym Membership
✔️ Continuing Education
✔️ Mentorship Programs
If you’re passionate about providing exceptional patient care and want to grow your career with a supportive team, we’d love to hear from you!
Apply today or share this post with someone who’d be a great fit.
#hiring #hiringnyc #dpt #therapy #healthcare</t>
  </si>
  <si>
    <t>2026-07-03</t>
  </si>
  <si>
    <t>🇺🇸 Wishing all of you and our PT of The City family a safe, joyful, and memorable 4th of July! ❤️🤍💙</t>
  </si>
  <si>
    <t>https://www.instagram.com/p/DaVXMjGjEA4/</t>
  </si>
  <si>
    <t>🇺🇸 Wishing all of you and our PT of The City family a safe, joyful, and memorable 4th of July! ❤️🤍💙
As you celebrate Independence Day, here's when we'll be here for you:
🎆 Saturday, July 4th: All locations are CLOSED 
🏥 Sunday, July 5th: Select locations will be OPEN
To view the hours for your preferred clinic, visit our All Clinics page: https://www.ptofthecity.com/clinics/all
Need to schedule your next visit? Contact us at (718) 648-0888
or book your appointment online anytime: 
https://www.ptofthecity.com/booking
Have a safe and wonderful Independence Day! 🇺🇸</t>
  </si>
  <si>
    <t>Teamwork makes the dream work, right? 😅
#officelife #funny #trending #healthcarehumor #dpt</t>
  </si>
  <si>
    <t>The heat is ON tomorrow, NYC. ☀️🥵</t>
  </si>
  <si>
    <t>https://www.instagram.com/p/DaOFzz2KQLA/</t>
  </si>
  <si>
    <t>The heat is ON tomorrow, NYC. ☀️🥵
Take care of yourself. Stay hydrated. Find some shade (or AC 🫣).
And if you need us, we’ve got you. 😎 PT of The City is open and ready for you💙
Book your appointment today 
https://www.ptofthecity.com/booking
Or Call us on
(718) 648-0888</t>
  </si>
  <si>
    <t>2026-06-28</t>
  </si>
  <si>
    <t>This week, our team is putting their mobility to the test and taking on another challenge! 🔥</t>
  </si>
  <si>
    <t>https://www.instagram.com/p/DaJQvhoCceo/</t>
  </si>
  <si>
    <t>This week, our team is putting their mobility to the test and taking on another challenge! 🔥
Give it a try and let us know how you do. Bonus points if you tag us in your attempt! 💪✨
#challenge #physiotherapy #physicaltherapy #fyp #trending</t>
  </si>
  <si>
    <t>2026-06-27</t>
  </si>
  <si>
    <t>Bay Ridge</t>
  </si>
  <si>
    <t>⚽ Passed the FIFA ball around our Bay Ridge clinic to see what everyone would do… and let’s just say, we might have a few hidden World Cup t</t>
  </si>
  <si>
    <t>https://www.instagram.com/p/DaGcrTEKQjm/</t>
  </si>
  <si>
    <t>⚽ Passed the FIFA ball around our Bay Ridge clinic to see what everyone would do… and let’s just say, we might have a few hidden World Cup talents on the team. 👀🏆
#worldcup #physicaltherapy #fifa #bayridge #physicaltherapy</t>
  </si>
  <si>
    <t>2026-06-26</t>
  </si>
  <si>
    <t>✨ Adrienne’s consistency and determination have been truly inspiring to witness.</t>
  </si>
  <si>
    <t>https://www.instagram.com/p/DaEKkUWCad1/</t>
  </si>
  <si>
    <t>✨ Adrienne’s consistency and determination have been truly inspiring to witness.
Our team at PT Of The City is so proud of the progress she’s made and honored to be part of her journey. Every step forward is a testament to her hard work and commitment. 💪👏
#physicaltherapy #patientcare #patientfirst #healthiswealth #physiotherapy</t>
  </si>
  <si>
    <t>In honor of the 2026 FIFA World Cup we’re putting our staff members soccer knowledge to the test!</t>
  </si>
  <si>
    <t>https://www.instagram.com/p/DaD5jXeRWux/</t>
  </si>
  <si>
    <t>In honor of the 2026 FIFA World Cup we’re putting our staff members soccer knowledge to the test! 
How do you think they did? 👀
#fifa #worldcup2026 #fyp #trending #trivia</t>
  </si>
  <si>
    <t>2026-06-24</t>
  </si>
  <si>
    <t>There’s no ‘I’ in team! 😂</t>
  </si>
  <si>
    <t>https://www.instagram.com/p/DZ_A9FXCdNn/</t>
  </si>
  <si>
    <t>There’s no ‘I’ in team! 😂
#spanish #healthcare #fyp #trendingaudio❤️ #viral</t>
  </si>
  <si>
    <t>2026-06-22</t>
  </si>
  <si>
    <t>One of William’s biggest goals? Getting back to driving his stick shift and returning to the life he loves.</t>
  </si>
  <si>
    <t>https://www.instagram.com/p/DZ53dAnCS0p/</t>
  </si>
  <si>
    <t>One of William’s biggest goals? Getting back to driving his stick shift and returning to the life he loves.
Every session brings him one step closer, and our team at PT Of The City is here to support him every mile of the journey. 💪✨
#patientfirst #patientcare #fyp #explore #physicaltherapy</t>
  </si>
  <si>
    <t>2026-06-20</t>
  </si>
  <si>
    <t>👀 The internet asked. We answered.</t>
  </si>
  <si>
    <t>https://www.instagram.com/p/DZ0m6tMiQSl/</t>
  </si>
  <si>
    <t>👀 The internet asked. We answered.
Here are the top 5 most Googled questions about physical therapy—and the answers you need to know. 💪
#physicaltherapy #google #faq #trending #dpt</t>
  </si>
  <si>
    <t>2026-06-18</t>
  </si>
  <si>
    <t>This week, our team is taking on a hip mobility challenge! 🔥</t>
  </si>
  <si>
    <t>https://www.instagram.com/p/DZvkLu6CT76/</t>
  </si>
  <si>
    <t>This week, our team is taking on a hip mobility challenge! 🔥
We’re putting our movement to the test, and having a little fun along the way. Stay tuned to see how everyone does! 
#challenge #mobility #physicaltherapy #trending #teamwork</t>
  </si>
  <si>
    <t>2026-06-16</t>
  </si>
  <si>
    <t>Lenox Hill</t>
  </si>
  <si>
    <t>Physical therapy is the greatest form of self care 🥰 Treat yourself to a session at our Lenox Hill clinic today!</t>
  </si>
  <si>
    <t>https://www.instagram.com/p/DZqamOlFhDv/</t>
  </si>
  <si>
    <t>Physical therapy is the greatest form of self care 🥰 Treat yourself to a session at our Lenox Hill clinic today!
#nyc #physicaltherapy #selfcare #massage #cuppingtherapy</t>
  </si>
  <si>
    <t>2026-06-14</t>
  </si>
  <si>
    <t>The hardest part of the workday? Missing out on the fun 😅</t>
  </si>
  <si>
    <t>https://www.instagram.com/p/DZlGtsOlvjn/</t>
  </si>
  <si>
    <t>The hardest part of the workday? Missing out on the fun 😅 
#fomo #trending #trendingaudio #funnyreel #relatable</t>
  </si>
  <si>
    <t>Sunset Park, Brooklyn</t>
  </si>
  <si>
    <t>We’re expanding our hours to serve you better! 🕒
Starting Jan 13th, Sunset Clinic will be open on Saturdays from 9:00 AM to 3:00 PM.
If your Monday through Friday schedule is packed, you can now access our expert physical therapy team over the weekend.
📅 Full Weekly Schedule:
Mon – Fri: 8:00 AM – 7:00 PM
Sat: 9:00 AM – 3:00 PM
Your recovery shouldn’t have to wait. Contact us today to secure your Saturday spot!
🌐 https://www.ptofthecity.com/booking | 📱 (718) 648-0888 | or Send a message to us.
PT of The City - Sunsuet Park Location: https://maps.app.goo.gl/82xZYk21YZ5s7p8X8</t>
  </si>
  <si>
    <t>2026-06-12</t>
  </si>
  <si>
    <t>When Laura began her healing journey with us, she suffered from chronic back and shoulder pain that impacted her daily life. Through consist</t>
  </si>
  <si>
    <t>https://www.instagram.com/p/DZgHdwTFulq/</t>
  </si>
  <si>
    <t>When Laura began her healing journey with us, she suffered from chronic back and shoulder pain that impacted her daily life. Through consistent care and dedication, she’s experienced significant relief, improved mobility, and a renewed sense of well-being.
We’re so proud of your progress, Laura. 💙💚
#patientcare #physicaltherapy #chronicpain #explore #recovery</t>
  </si>
  <si>
    <t>Belmont, Bronx, New York</t>
  </si>
  <si>
    <t>📍 Belmont, we’re here for you! PT Of The City has arrived on Third Avenue!
Our therapist-owned practice provides personalized, one-on-one care designed to help you move better, feel stronger, and get back to doing what you love.
✨ Our services include:
• Sports Rehab
• Orthopedic Rehab (Back &amp; Neck Pain)
• Pediatric Therapy
• Lymphedema Care
• Pelvic Health
• TMJ Treatment
• Vestibular Therapy
• Stroke &amp; Neurological Recovery
• Gait Training
• Cupping Therapy
• In-Home Therapy
🎉 Community Welcome Offer:
FREE Physical Therapy &amp; MSK Screening
Spots are limited this month as part of our Belmont community welcome program. Call today to reserve your screening and take the first step toward better movement and lasting relief.
#BelmontBronx #fyp #physicaltherapy #painrelief #healthcare</t>
  </si>
  <si>
    <t>2026-06-10</t>
  </si>
  <si>
    <t>This week, our team members are taking on the Iron Knee Challenge! 💪🔥 Think you can do it too? Give it a try and let us know how you did!</t>
  </si>
  <si>
    <t>https://www.instagram.com/p/DZa92hCFsAJ/</t>
  </si>
  <si>
    <t>This week, our team members are taking on the Iron Knee Challenge! 💪🔥 Think you can do it too? Give it a try and let us know how you did!
#physicaltherapy #DPT #Trending #Challenge #fyp</t>
  </si>
  <si>
    <t>Chelsea, Manhattan</t>
  </si>
  <si>
    <t>Ever wonder what happens during an initial evaluation? Here’s a sneak peek! 👀
#physicaltherapy #DPT #FYP #bts #ditl</t>
  </si>
  <si>
    <t>2026-06-01</t>
  </si>
  <si>
    <t>You Can’t Hold It Like Before?!</t>
  </si>
  <si>
    <t>https://www.instagram.com/p/DZDoZQBFO-W/</t>
  </si>
  <si>
    <t>You Can’t Hold It Like Before?!
Leaks, urgency, pressure, or that “not fully in control” feeling—these aren’t just women’s issues. Men experience them too, often after prostate issues, surgery, aging, or long-term strain on the core and lower back.
The pelvic floor plays a key role in bladder control, core stability, and lower back support. When it’s not working properly, even simple daily moments can feel uncomfortable or unpredictable.
Pelvic floor rehabilitation at PT of The City helps men rebuild strength, improve control, and restore confidence in how they move and function every day.
Available at:
Allerton | Bed-Stuy
Bensonhurst | Brownsville
Castle Hill | Church Ave
Clinton Hill | Flatbush
Fordham | Greenpoint
Hunts Point | Inwood
Jamaica | Midtown
Midwood | Riverdale
Sheepshead Bay | Sugar Hill
Chelsea | Belmont
Not sure if it applies to you?
Take our Pelvic Floor Quiz and get real insight into your pelvic floor health.
https://zurl.co/acsAO
🔗 Book your pelvic floor consultation today and get a free screening ✅
📞 (718) 648-0888 | 🌐 https://zurl.co/Bq1bK | 💬 DM us to book.
#ptofthecity #physicaltherapy #pelvicfloorrehabilitation</t>
  </si>
  <si>
    <t>2026-05-26</t>
  </si>
  <si>
    <t>What if staying steady as you age was something you could actually train for?</t>
  </si>
  <si>
    <t>https://www.instagram.com/p/DY0A9SYqHsi/</t>
  </si>
  <si>
    <t>What if staying steady as you age was something you could actually train for?
Prevent falls before they happen with PT of The City’s preventive physical therapy programs in NYC—designed for older adults who want to improve balance, build strength, and move with more confidence in everyday life.
It’s not just about recovery. It’s about staying independent, active, and in control for longer.
Book now to try and feel the difference..
📞 (718) 648-0888 | 🌐 https://www.ptofthecity.com/booking | 💬 DM us to book.
#ptofthecity #physicaltherapy #preventivetherapy
#balancerehabilitation</t>
  </si>
  <si>
    <t>2026-05-22</t>
  </si>
  <si>
    <t>Movement should be steady, not a struggle. 🧭 Ditch the dizziness with these stabilization drills designed to ground your movement.</t>
  </si>
  <si>
    <t>https://www.instagram.com/p/DYp73jSRoYz/</t>
  </si>
  <si>
    <t>Movement should be steady, not a struggle. 🧭 Ditch the dizziness with these stabilization drills designed to ground your movement.
Gaze Stabilization: Focus on a target in front of you and slowly move your head side to side, 10–15 reps.
Head Turns: Turn your head gently from side to side while sitting, 10 reps.
Balance Practice: Stand with your feet together and hold your balance for 20–30 seconds.
🚨Still feeling off-balance?
PT of The City provides specialized gait training to fix the root cause and get you back on your feet.
✅Schedule your session at PT of The City, ranked #5 on Google, today!
📞 (718) 648-0888 | 🌐 https://www.ptofthecity.com/booking | 💬 DM us to book
#ptofthecity #physicaltherapy #dizziness</t>
  </si>
  <si>
    <t>2026-05-21</t>
  </si>
  <si>
    <t>As we honor and remember the brave heroes this Memorial Day, we want to make sure your health and fitness goals stay on track! 🇺🇸</t>
  </si>
  <si>
    <t>https://www.instagram.com/p/DYmj2F2qRz8/</t>
  </si>
  <si>
    <t>As we honor and remember the brave heroes this Memorial Day, we want to make sure your health and fitness goals stay on track! 🇺🇸
Quick heads-up: We are OPEN and operating on our regular schedule this Monday! 
Don’t let the long weekend disrupt your progress. Spaces are filling up fast, so make sure to keep your appointments or book your session today!
DM us or call us at (718) 648-0888 to secure your spot.</t>
  </si>
  <si>
    <t>2026-05-20</t>
  </si>
  <si>
    <t>Thumb-side wrist pain is a warning, not a nuisance. 🛑 Constant strain from scrolling or lifting sidelines your grip and kills your focus. Re</t>
  </si>
  <si>
    <t>https://www.instagram.com/p/DYky5hQKs3h/</t>
  </si>
  <si>
    <t>Thumb-side wrist pain is a warning, not a nuisance. 🛑 Constant strain from scrolling or lifting sidelines your grip and kills your focus. Reset with these three essential drills to melt the tension.
👉🏼Thumb Stretch: Gently pull your thumb back toward your wrist, hold 5 seconds, 10 reps.
👉🏼Wrist Flexor Stretch: Extend your arm, palm up, and gently pull your fingers back with the other hand, hold 10 seconds, 10 reps.
👉🏼Fist to Finger Lift: Make a fist, then slowly lift each finger one at a time, 10 reps.
Need a permanent fix? PTOC will get your wrist back in the game.
We accept all major insurances — book your appointment today!
📞 (718) 648-0888 | 🌐 https://www.ptofthecity.com/booking | 💬 DM us to book
#ptofthecity #physicaltherapy #thumppain</t>
  </si>
  <si>
    <t>2026-05-15</t>
  </si>
  <si>
    <t>Knee arthritis doesn’t always start with sharp pain. Often, it begins with these quiet shifts. Take a quick 30-Second Self-Test to see where</t>
  </si>
  <si>
    <t>https://www.instagram.com/p/DYX6IQOqHTw/</t>
  </si>
  <si>
    <t>Knee arthritis doesn’t always start with sharp pain. Often, it begins with these quiet shifts. Take a quick 30-Second Self-Test to see where you stand:
1️⃣ The Chair Test: Sit and stand 5 times. Notice any pain or stiffness?
2️⃣ The Stair Test: Walk up a flight. Any grinding, clicking, or swelling?
3️⃣ The Range Test: Bend your knee fully. Does it feel limited or hurt?
Early detection is the secret to staying strong and active. Don’t let these early signs limit your lifestyle—if any of these sound familiar, it’s time for a professional assessment.
Visit us at PT of The City Physical Therapy for a clear plan to keep you moving.
📍 Book your evaluation today
We accept all major insurance plans.
📞 (718) 648-0888 | 🌐 https://www.ptofthecity.com/booking | 💬 DM us to book.
#ptofthecity #physicaltherapy #kneetherapy</t>
  </si>
  <si>
    <t>2026-05-13</t>
  </si>
  <si>
    <t>crunchinwood</t>
  </si>
  <si>
    <t>Catch PT of The City at the Crunch Inwood Pre-Game 🌟</t>
  </si>
  <si>
    <t>https://www.instagram.com/p/DYSxnKqqRbk/</t>
  </si>
  <si>
    <t>Catch PT of The City at the Crunch Inwood Pre-Game 🌟
Come meet the team serving NYC with 32 locations across the Bronx, Brooklyn, Queens &amp; Manhattan.
🏃 Sports Rehab
💪 Physical Therapy
🖐 Occupational Therapy
👧 Pediatric Therapy
⚡ Recovery &amp; Pain Management
We’re bringing the energy, giveaways, recovery tips, and good vibes all day long 🔥
Pull up with your friends &amp; family for:
🎧 Live DJ
🤸🏽 Outdoor fitness classes
🎟 Giveaways &amp; raffles
🎨 Kids Fun Zone (1PM–4PM)
🍭 Cotton candy &amp; face painting
🤡 Clown show
Whether you’re recovering, training, or just outside for the vibes — come say hi to the PT of The City team 🙌
Join Us There On May 16TH
Saturday  12:00 PM – 4:00 PM
📍Address: 401 W 207th S, New York, NY</t>
  </si>
  <si>
    <t>2026-05-12</t>
  </si>
  <si>
    <t>Care isn’t one-size-fits-all.</t>
  </si>
  <si>
    <t>https://www.instagram.com/p/DYQR8UFK5Nz/</t>
  </si>
  <si>
    <t>Care isn’t one-size-fits-all.
At PT of The City, we make sure it fits you🤝
With 32 locations across NYC, we’re always close to you and your family.
Our bilingual therapists speak your language — so nothing gets lost in care or communication
(Spanish • Arabic • Hindi • Urdu • Russian • French)
We don’t just treat…
We care. We heal. We support.
And most importantly, We Accept All Major Insurances — because access to care should never be complicated.
PT of The City — your type of care.
Book your session now 
📞 (718) 648-0888 | 🌐 https://www.ptofthecity.com/booking | 💬 DM us to book.
#ptofthecity #physicaltherapy #healing</t>
  </si>
  <si>
    <t>2026-04-27</t>
  </si>
  <si>
    <t>Between subway stairs, long commutes, and hours at a desk, New York is tough on your joints 🍎</t>
  </si>
  <si>
    <t>https://www.instagram.com/p/DXpgjJIFBma/</t>
  </si>
  <si>
    <t>Between subway stairs, long commutes, and hours at a desk, New York is tough on your joints 🍎
If you’re dealing with persistent pain in your hips, knees, shoulders, ankles, or even wrists that doesn’t go away, it may be more than just daily strain—it could be an underlying orthopedic issue.
We don’t just treat symptoms—we correct the root mechanical cause so you can move through the city pain-free.
Send us a message to check your insurance coverage and book your evaluation—or schedule your appointment online today.
We accept all major insurance plans.
📞 (718) 648-0888 | 🌐 https://zurl.co/K9oT4 | 💬 DM us to book.
#ptofthecity #physicaltherapy #orthopedicrehabilitation</t>
  </si>
  <si>
    <t>2026-04-22</t>
  </si>
  <si>
    <t>You don’t need long workouts to strengthen your pelvic floor 👇</t>
  </si>
  <si>
    <t>https://www.instagram.com/p/DXcujVQKVA1/</t>
  </si>
  <si>
    <t>You don’t need long workouts to strengthen your pelvic floor 👇
What matters is choosing the right movements that build support, stability, and control.
Try these simple exercises:
Bridge Hold — builds pelvic + glute support
Deep Squat Hold — improves pelvic mobility and core control
Wall Sit — strengthens lower body endurance
Bird Dog — improves core stability and balance
Heel Slides — enhances deep core coordination
Together, they train your pelvic system in a functional, practical way—without needing a gym session.
If you’re dealing with weakness, discomfort, or pelvic instability, don’t ignore it.
Book your evaluation at PT of The City for a proper assessment and guided pelvic floor treatment plan.
📞 (718) 648-0888 | 🌐 https://www.ptofthecity.com/booking | 💬 DM us to book.
#ptofthecity #physicaltherapy #pelvicfloor</t>
  </si>
  <si>
    <t>2026-04-20</t>
  </si>
  <si>
    <t>¿Desea saber qué está ocurriendo con su pelvis?</t>
  </si>
  <si>
    <t>https://www.instagram.com/p/DXXmn34Kg3A/</t>
  </si>
  <si>
    <t>¿Desea saber qué está ocurriendo con su pelvis?
Esa pequeña filtración, ese malestar que sigues ignorando.
Tiene una causa y una solución.
Descúbralo en tan solo 2 minutos, Complete nuestro cuestionario sobre el piso pélvico en nuestra página web y obtenga sus resultados de inmediato.
. Su nivel de gravedad.
. Lo que tu cuerpo te está indicando.
. Su próximo paso hacia la  recuperación.
Reserve hoy su programa de rehabilitación del piso pélvico y obtenga una evaluación inicial gratuita.
Aceptamos la mayoría de los seguros médicos.</t>
  </si>
  <si>
    <t>2026-04-17</t>
  </si>
  <si>
    <t>You rest, you stretch, you wait… and the pain still comes back. 🔄</t>
  </si>
  <si>
    <t>https://www.instagram.com/p/DXP3g1akTDr/</t>
  </si>
  <si>
    <t>You rest, you stretch, you wait… and the pain still comes back. 🔄
If your body is sending these 4 signals, it’s not just "getting older" or a "bad day"—it’s a call for professional alignment. At PT of The City, we don’t just treat the symptom; we unlock the restriction at the source.
🚩 The Red Flags:
The "Relapse" Cycle: Pain that disappears only to flare up the moment you get active again.
Hidden Stiffness: "Heavy" steps or hips that feel like they need oiling.
Stair Struggles: If gravity feels heavier than usual, your mechanics are off.
The Lean: If you’re favoring one side, you’re setting yourself up for a secondary injury.
The good news? You don’t have to "just live with it."
Our expert therapists use targeted manual therapy and corrective movement to get you back to 100%.
🔗 Take the First Step and book your evaluation at your nearest PTOC clinic:
📞 (718) 648-0888 | 🌐 https://zurl.co/TUnVA | 💬 DM us to book.
#ptofthecity #physicaltherapy #healing</t>
  </si>
  <si>
    <t>2026-04-15</t>
  </si>
  <si>
    <t>Sitting doesn’t cause sciatica—but it can absolutely worsen it🤷🏽‍♂️</t>
  </si>
  <si>
    <t>https://www.instagram.com/p/DXKwqLwq2Uf/</t>
  </si>
  <si>
    <t>Sitting doesn’t cause sciatica—but it can absolutely worsen it🤷🏽‍♂️
When you sit for long periods:
• Pressure on your lower spine significantly increases
• Slouched posture pushes discs toward the sciatic nerve
• Tight glute muscles can compress the nerve
• The nerve is placed under continuous tension
• Blood flow slows down, delaying recovery
This is why your symptoms often worsen after sitting—not randomly.
✔️What helps:
Adjust your sitting position:
• Keep your knees slightly lower than your hips
• Support your lower back to maintain its natural curve
• Avoid staying in one position for too long
Small changes in how you sit can make a real difference in how your nerve feels👌🏼
📍 Book your evaluation today
We accept all major insurance plans.
📞 (718) 648-0888 | 🌐 https://www.ptofthecity.com/booking | 💬 DM us to book.
#ptofthecity #physicaltherapy #sciatica</t>
  </si>
  <si>
    <t>2026-04-13</t>
  </si>
  <si>
    <t>Hand recovery after a stroke isn’t just a goal—it’s a necessity. 🖐️</t>
  </si>
  <si>
    <t>https://www.instagram.com/p/DXFnSNCqmHi/</t>
  </si>
  <si>
    <t>Hand recovery after a stroke isn’t just a goal—it’s a necessity. 🖐️
Many give up because progress feels slow, but specialized Hand Therapy is the bridge from a passive limb to a functional tool. At PT of The City, we focus on the movements that return your independence:
The Slide: Glide a towel across a table to reconnect shoulder and hand control.
The Pinch: Pick up small objects to rebuild daily precision.
The Release: Squeeze and fully open your hand to restore range and grip.
Stop settling for “weak use.” Restore your function with PTOC.
Book your Hands Therapy session now 
📞 (718) 648-0888 | 🌐 https://www.ptofthecity.com/booking | 💬 DM us to book.
#ptofthecity #physicaltherapy #handstherapy</t>
  </si>
  <si>
    <t>2026-04-10</t>
  </si>
  <si>
    <t>What’s Really Going On with Your Pelvic Floor?</t>
  </si>
  <si>
    <t>https://www.instagram.com/p/DW91VSOKdFS/</t>
  </si>
  <si>
    <t>What’s Really Going On with Your Pelvic Floor?
That little leak… that discomfort you ignore…
It has a reason—and a solution.
Check in 2 Minutes → Take the Pelvic Floor Quiz on our website
✔️ Your severity score
✔️ What your body is telling you
✔️ Your next step to recovery
Know Your Score NOW
https://www.ptofthecity.com/quiz/pelvic
Book your pelvic floor rehabilitation today and get a FREE SCREENING.
🚨We Accept All Major Insurances</t>
  </si>
  <si>
    <t>2026-04-08</t>
  </si>
  <si>
    <t>When your legs feel heavy, tight, and stuck… stretching isn’t always the answer.</t>
  </si>
  <si>
    <t>https://www.instagram.com/p/DW4sOb6irjA/</t>
  </si>
  <si>
    <t>When your legs feel heavy, tight, and stuck… stretching isn’t always the answer.
A marathon runner came to PT of The City with calves that felt like bricks and a pulling IT band.
After targeted IASTM and deep fascial release, his stride completely changed.
Result:
🌟 Smooth movement
⚡ Powerful runs
🏃‍♂️ Zero “heavy legs”
🤩Our patient’s feedback:
“It feels like I’m running with brand-new legs.”
Now it’s your turn.
If pain is holding you back, drop by PT of The City and we’ll get you moving freely again. 💪
Book now
📞 (718) 648-0888 | 🌐 https://www.ptofthecity.com/booking | 💬 DM us to book.
#ptofthecity #physicaltherapy #sportsrehabilitation</t>
  </si>
  <si>
    <t>2026-04-06</t>
  </si>
  <si>
    <t>High pillows feel like a dream, but they’re a nightmare for your spine.</t>
  </si>
  <si>
    <t>https://www.instagram.com/p/DWziNXTqQW1/</t>
  </si>
  <si>
    <t>High pillows feel like a dream, but they’re a nightmare for your spine.
❌The hidden truth? That ‘comfy’ loft twists your neck all night, causing chronic stiffness and aches. Range your spine tonight with these tips
1-Align, don’t prop: Keep your head level with your spine.
2-Support smart: Use a gentle neck roll or thin pillow if needed.
3-Move before you snooze: Quick shoulder and neck stretches relax muscles for a pain-free morning
and if the pain won’t quit, let PTOC provide the professional intervention you need to feel amazing.
With 32 locations accross New York..Book now.
📞 (718) 648-0888 | 🌐 https://www.ptofthecity.com/booking | 💬 DM us to book.
#ptofthecity #physicaltherapy #neckpain</t>
  </si>
  <si>
    <t>2026-04-02</t>
  </si>
  <si>
    <t>On World Autism Awareness Day, we raise awareness for the uniqueness, strength, and potential in every child. 💙</t>
  </si>
  <si>
    <t>https://www.instagram.com/p/DWo0BKZjOzX/</t>
  </si>
  <si>
    <t>On World Autism Awareness Day, we raise awareness for the uniqueness, strength, and potential in every child. 💙
At PT of The City, our Pediatrics Rehabilitation Services support children with autism in a caring, engaging, and fun environment designed to help them grow with confidence.
Our therapy focuses on helping children:
🎯 Improve gross and fine motor skills
🥇 Enhance strength, flexibility, and balance
🧩 Build independence in daily activities
🌞 Reduce pain and prevent complications
✳️ Experience positive and enjoyable therapy sessions
If your child could benefit from pediatric rehabilitation, our team at PT of The City is here to help.
📍Available at our ( Bensonhurst - Sunset Park - Grand Concourse - Belmont ) Clinics
Contact us today to learn more or schedule an evaluation
📞 (718) 648-0888 | 🌐 https://www.ptofthecity.com/booking | 💬 DM us to book.
#ptofthecity #physicaltherapy #pediatrics #autism</t>
  </si>
  <si>
    <t>2026-04-01</t>
  </si>
  <si>
    <t>New York - New York</t>
  </si>
  <si>
    <t>Your recovery shouldn’t wait — and neither should your access to care.</t>
  </si>
  <si>
    <t>https://www.instagram.com/p/DWmqsMsAdVk/</t>
  </si>
  <si>
    <t>Your recovery shouldn’t wait — and neither should your access to care.
At PT of The City, we accept all major insurance plans so you can start physical therapy when you need it most.
With 32 locations across New York, expert care is always close to you.
Book your session at your nearest PTOC clinic today.
📞 (718) 648-0888 | 🌐 https://zurl.co/OFTBt | 💬 DM us to book
#ptofthecity #physicaltherapy #medicalinsurance</t>
  </si>
  <si>
    <t>2026-03-30</t>
  </si>
  <si>
    <t>crunchnorwood</t>
  </si>
  <si>
    <t>Big news, Bronx 🔥</t>
  </si>
  <si>
    <t>https://www.instagram.com/p/DWhxOMECpGJ/</t>
  </si>
  <si>
    <t>Big news, Bronx 🔥
We’re coming to the Crunch Fitness - Norwood Anniversary Celebration 💪
Meet the PT of The City team LIVE
Ask your questions
And see how you can finally move without pain 🙌
Dealing with an injury? stiffness? not moving like you used to?
Yeah… we got you 👊
Don’t miss it — come meet us!
📍 3170 Webster Ave, Bronx
🗓 March 31
⏰ 11:00 AM– 2:00 PM</t>
  </si>
  <si>
    <t>Stop ignoring the irritation. ⚡️</t>
  </si>
  <si>
    <t>https://www.instagram.com/p/DWhgJYdK88K/</t>
  </si>
  <si>
    <t>Stop ignoring the irritation. ⚡️
Tennis elbow is a fancy name for a frustrating reality: irritated tendons and a grip that won’t hold up. Whether it’s from repetitive lifting or constant desk work, the pain is real and it’s avoidable with these simple exercises.
✅Wrist extensor stretch: arm straight, palm down, gently pull your hand back, hold 15–20 sec.
✅Fist squeezes: squeeze a soft ball or towel 5–10 sec, repeat 10–15 times.
✅Forearm pronation/supination: elbow on a table, rotate palm up and down with a light weight, 10–15 reps.
Want relief? Follow for exercises. Pain lingering?
Book your session at your nearest PTOC clinic today.
📞 (718) 648-0888 | 🌐 https://www.ptofthecity.com/booking | 💬 DM us to book
#ptofthecity #physicaltherapy #tenniselbow</t>
  </si>
  <si>
    <t>2026-03-26</t>
  </si>
  <si>
    <t>Seeing Willie move, smile, and enjoy life again is everything! 💪 Regaining strength, chasing passions, and thriving—thank you for being part</t>
  </si>
  <si>
    <t>https://www.instagram.com/p/DWXd7PmKoCC/</t>
  </si>
  <si>
    <t>Seeing Willie move, smile, and enjoy life again is everything! 💪 Regaining strength, chasing passions, and thriving—thank you for being part of our PT of The City family. 
You can too! Get moving, relieve your pain, and live life fully—visit the nearest PT of The City clinic. We accept all major insurances!
📞 (718) 648-0888 | 🌐 https://www.ptofthecity.com/booking | 💬 DM us to book.
#ptofthecity #physicaltherapy #sportsrehabilitation</t>
  </si>
  <si>
    <t>2026-03-25</t>
  </si>
  <si>
    <t>Pelvic floor pain during pregnancy? You don’t have to just ‘tough it out.’”</t>
  </si>
  <si>
    <t>https://www.instagram.com/p/DWUwEA1FP2q/</t>
  </si>
  <si>
    <t>Pelvic floor pain during pregnancy? You don’t have to just ‘tough it out.’”
Discomfort isn’t a normal part of pregnancy — especially when it affects your pelvic floor. At PT of The City, our experienced female therapists specialize in pregnancy and postpartum care. Using gentle manual therapy, core stabilization, and breathing techniques, we help ease pain and support your changing body.
🌸We offer private pelvic floor sessions with female therapists in private rooms — care made just for you.
Schedule your session at the nearest PT of The City clinic today!
📞 (718) 648-0888 | 🌐 https://zurl.co/szbcm | 💬 DM us to book
#ptofthecity #physicaltherapy #pelvicfloor</t>
  </si>
  <si>
    <t>2026-03-23</t>
  </si>
  <si>
    <t>⚡ Beat tension before it beats you. Stiff neck, shoulders, and head pressure from sitting all day? Try this quick mobility flow to relieve p</t>
  </si>
  <si>
    <t>https://www.instagram.com/p/DWPjFKuKCMs/</t>
  </si>
  <si>
    <t>⚡ Beat tension before it beats you. Stiff neck, shoulders, and head pressure from sitting all day? Try this quick mobility flow to relieve pain 
💫Neck Stretch: Gently tilt your head to one side, hold 10 seconds, then switch sides.
💫Shoulder Rolls: Roll your shoulders backward and forward, 10 reps each.
💫Chin Tucks: Pull your chin straight back to lengthen your neck, hold 5 seconds, 10 reps. and if the stiffness doesn’t improve, schedule your session at PT of The City, ranked #5 on Google, today!
📞 (718) 648-0888 | 🌐 https://www.ptofthecity.com/booking | 💬 DM us to book
#ptofthecity #physicaltherapy #headache</t>
  </si>
  <si>
    <t>2026-03-20</t>
  </si>
  <si>
    <t>Your oncology rehab doesn’t have to wait. Start during treatment at our PTOC Oncology Department, and continue after healing.</t>
  </si>
  <si>
    <t>https://www.instagram.com/p/DWG28LwFJp-/</t>
  </si>
  <si>
    <t>Your oncology rehab doesn’t have to wait. Start during treatment at our PTOC Oncology Department, and continue after healing.
We create gentle, personalized care plans that move with you — easing fatigue, improving strength, and restoring mobility so you can feel your best throughout your journey🤍.
How we support you:
🌿 Keep muscles active
🌿 Boost energy &amp; balance
🌿 Reduce swelling &amp; pain
🌿 Improve overall well-being
Take the first step toward comfort and strength — schedule your session at PT of The City, ranked #5 on Google, today!
📞 (718) 648-0888 | 🌐 https://zurl.co/nD3NX | 💬 DM us to book
#ptofthecity #physicaltherapy #oncology</t>
  </si>
  <si>
    <t>https://www.instagram.com/p/DWCUovAkecc/</t>
  </si>
  <si>
    <t>Struggling to open your mouth for even a small bite? 😬
It might seem minor, but it could be TMJ disorder, which affects the joint connecting your jaw to your skull. Jaw pain can hit not just when eating — talking, yawning, or drinking can all be painful too.
At PT of The City, we help your jaw move smoothly again, making everyday life comfortable and pain-free.
We accept all major insurances — book your appointment today!
📞 (718) 648-0888 | 🌐 https://www.ptofthecity.com/booking | 💬 DM us to book
#ptofthecity #physicaltherapy #tmj</t>
  </si>
  <si>
    <t>Test Your Shoulder Mobility in 30 Seconds with PT of The City 💪🏼
Try these quick moves:
✅ Arm Circles
✅ Reach Over &amp; Behind
✅ Wall Reach
How did you do? Drop your results in the comments! 👇 Or DM 📮
If any move felt tricky, don’t worry — book your appointment at your nearest PT of The City clinic today and our therapists will get you moving pain-free! 🤸🏽
https://www.ptofthecity.com/booking
#ptofthecity #physicaltherapy #shoulderexercises</t>
  </si>
  <si>
    <t>2026-03-10</t>
  </si>
  <si>
    <t>If ice and your favorite ointment isn’t helping with your knee pain or swelling, the issue might be deeper than a simple strain — it could b</t>
  </si>
  <si>
    <t>https://www.instagram.com/p/DVuPDT3DObN/</t>
  </si>
  <si>
    <t>If ice and your favorite ointment isn’t helping with your knee pain or swelling, the issue might be deeper than a simple strain — it could be a meniscus injury😳.
The meniscus is the cushion in your knee. 
⛔When it’s damaged, you may experience:
✔️ Swelling that keeps coming back
✔️ Pain when walking or bending
✔️ Clicking or locking in the knee
✔️ Difficulty moving normally
Don’t ignore knee pain — get expert care at PT of The City and move better.
32 locations. One goal: your recovery. Book now.
📞 (718) 648-0888 | 🌐 https://www.ptofthecity.com/booking | 💬 DM us to book.
#ptofthecity #physicaltherapy #kneepain</t>
  </si>
  <si>
    <t>2026-03-04</t>
  </si>
  <si>
    <t>Reaching up shouldn’t feel like a workout.</t>
  </si>
  <si>
    <t>https://www.instagram.com/p/DVemghdCQe-/</t>
  </si>
  <si>
    <t>Reaching up shouldn’t feel like a workout.
Getting dressed shouldn’t hurt.
That deep, aching shoulder pain? It might be shoulder osteoarthritis quietly wearing your joint down.
Start simple with these moves:
✔️ Lean forward
✔️ Let your arm hang
✔️ Make small circles
If you still feel the same pain
✅Schedule your session at the nearest PT of The City Bronx clinic today!
Not sure which location is closest to you? 📍
Send us your ZIP code and we’ll tell you the nearest Bronx clinic right away.
📞 (718) 648-0888 | 🌐 https://zurl.co/kDqaO | 💬 DM us to book
#ptofthecity #physicaltherapy #shoulderpain</t>
  </si>
  <si>
    <t>2026-03-01</t>
  </si>
  <si>
    <t>See you next week!😅</t>
  </si>
  <si>
    <t>https://www.instagram.com/p/DVXC8jfit_a/</t>
  </si>
  <si>
    <t>See you next week!😅
#physicaltherapy #physiotherapy #relatable #trendingréels #fyp</t>
  </si>
  <si>
    <t>2026-02-27</t>
  </si>
  <si>
    <t>Well... that escalated😅</t>
  </si>
  <si>
    <t>https://www.instagram.com/p/DVR3IZrClKQ/</t>
  </si>
  <si>
    <t>Well... that escalated😅
#physiotherapy #physicaltherapy #funnyreel 
#newyork #ᴇxᴘʟᴏʀᴇᴘᴀɢᴇ</t>
  </si>
  <si>
    <t>2026-02-26</t>
  </si>
  <si>
    <t>Directions unclear😅</t>
  </si>
  <si>
    <t>https://www.instagram.com/p/DVPUX2dipDS/</t>
  </si>
  <si>
    <t>Directions unclear😅
#physiotherapy #physicaltherapy #funny #relatable #trending</t>
  </si>
  <si>
    <t>Our therapist has a name and it’s [Bestie]🫂🤞🏻
#Bestie #physiotherapy #physicaltherapy #backadjustment #thoracic</t>
  </si>
  <si>
    <t>2026-02-24</t>
  </si>
  <si>
    <t>This interaction may be sunset-sensitive.</t>
  </si>
  <si>
    <t>https://www.instagram.com/p/DVKKrKIDBgW/</t>
  </si>
  <si>
    <t>This interaction may be sunset-sensitive.
#ramadan #physiotherapy #relatable #iykyk #ᴇxᴘʟᴏʀᴇᴘᴀɢᴇ</t>
  </si>
  <si>
    <t>With the heavy snowstorm❄️🌧️ —stay safe</t>
  </si>
  <si>
    <t>https://www.instagram.com/p/DVJ1yEujOeB/</t>
  </si>
  <si>
    <t>With the heavy snowstorm❄️🌧️ —stay safe
while shoveling snow. Your body will thank you later.
Take a minute to warm up before you start and try pushing the snow instead of lifting it when you can. Move carefully, avoid twisting your back, and give yourself breaks every 10-15 minutes. And don't forget proper footwear to prevent slips and talls.
Stay warm, stay safe, and take care of your body🤍</t>
  </si>
  <si>
    <t>2026-02-23</t>
  </si>
  <si>
    <t>Crisis averted😅</t>
  </si>
  <si>
    <t>https://www.instagram.com/p/DVHou5oCprG/</t>
  </si>
  <si>
    <t>Crisis averted😅
#PhysioTherapy #PhysicalTherapy #medicalhumor #doctor #funny</t>
  </si>
  <si>
    <t>2026-02-22</t>
  </si>
  <si>
    <t>Respectfully, that’s a front desk question😅</t>
  </si>
  <si>
    <t>https://www.instagram.com/p/DVE_TLsCvaq/</t>
  </si>
  <si>
    <t>Respectfully, that’s a front desk question😅
#doctor #medical #funny #insurance #physicaltherapy physiotherapy</t>
  </si>
  <si>
    <t>2026-02-21</t>
  </si>
  <si>
    <t>The energy was unreal at Crunch Gym Richmond Hill.</t>
  </si>
  <si>
    <t>https://www.instagram.com/p/DVCcIe1ipkR/</t>
  </si>
  <si>
    <t>The energy was unreal at Crunch Gym Richmond Hill.
This collaboration brought physical therapy directly to the gym floor — giving members real-time injury prevention strategies and performance insights they could apply immediately.
When education meets energy, the entire community levels up. 🤩
#partnership #crunchgym #ptofthecity #community #healthcare</t>
  </si>
  <si>
    <t>2026-02-20</t>
  </si>
  <si>
    <t>Coffee. Water. Piping hot tea. We’ve got it all!</t>
  </si>
  <si>
    <t>https://www.instagram.com/p/DU_3XgUijgU/</t>
  </si>
  <si>
    <t>Coffee. Water. Piping hot tea. We’ve got it all!
#Tea #FunnyReel #PhysioTherapy #PhysicalTherapy
#Humor</t>
  </si>
  <si>
    <t>Carrying our entire day in our pockets - quite literally
#Scrubs #Relatable #Physiotherapy #PhysicalTherapy #MedicalHumor</t>
  </si>
  <si>
    <t>2026-02-18</t>
  </si>
  <si>
    <t>No pictures please!😅</t>
  </si>
  <si>
    <t>https://www.instagram.com/p/DU6zxxDCmMu/</t>
  </si>
  <si>
    <t>No pictures please!😅
#trend #Trending #skit #funny #worklife</t>
  </si>
  <si>
    <t>Her resume includes references from multiple centuries🤩
#physiotherapy #physicaltherapy #history #healthcarehumor #trending</t>
  </si>
  <si>
    <t>handsofhopeptny</t>
  </si>
  <si>
    <t>For Episode 7 of our BTS series, we’re showing you how we shake things up!</t>
  </si>
  <si>
    <t>https://www.instagram.com/p/DeaJjCxiAmd/</t>
  </si>
  <si>
    <t>For Episode 7 of our BTS series, we’re showing you how we shake things up! 
We want you strong for the real world, and the real world doesn't move in a straight line. That’s why we use the Core-Tex platform to safely challenge your balance. 
And we use BlazePod’s light-up targets to turn reaction training into a literal game that keeps your brain as sharp as your body. 
Swipe for some health treats ➡️
📞 (718) 550-2618 - 
📍 Our locations:handsofhopeny.com/physical-therapy-clinic/
Or DM us to book
#HandsOfHopePT 
#PhysicalTherapy 
#RecoveryJourney</t>
  </si>
  <si>
    <t>Did you know your body discards up to 80% of standard oral vitamins before they even hit your cells?</t>
  </si>
  <si>
    <t>https://www.instagram.com/p/DeSbQK_gbL1/</t>
  </si>
  <si>
    <t>Did you know your body discards up to 80% of standard oral vitamins before they even hit your cells? 
When your system is depleted, oral vitamins take hours to break down, with minimal payoff. IV Therapy delivers immediate, 100% bioavailable hydration and targeted nutrients right where you need them. 
Give your body the ultimate reset it’s been asking for.
📞 (718) 550-2618 - 
📍 Our locations: handsofhopeny.com/physical-therapy-clinic/
Or DM us to book.
#HandsOfHopePT #IVTherapy #CellularRecovery</t>
  </si>
  <si>
    <t>This National Disability Awareness Month, we want to</t>
  </si>
  <si>
    <t>https://www.instagram.com/p/DeNRm0HjfVE/</t>
  </si>
  <si>
    <t>This National Disability Awareness Month, we want to 
remind our entire community of the strength found in 
solidarity. 
To every individual and family carving out access, raising 
awareness, and demanding better spaces: we stand with you.
Your courage elevates us all, and we are deeply honored to 
share this community with you! 
#National_Disability_Awareness_Month
#CommunityFirst 
#Recovery_Journey</t>
  </si>
  <si>
    <t>2026-10-04</t>
  </si>
  <si>
    <t>Pelvic floor dysfunction is incredibly common, but it is not</t>
  </si>
  <si>
    <t>https://www.instagram.com/p/DeFjQmjgVtF/</t>
  </si>
  <si>
    <t>Pelvic floor dysfunction is incredibly common, but it is not 
something you just have to "deal with." 
Whether it's persistent pelvic pain, severe constipation, or 
leakage, these are physical signs your body needs targeted 
support. 
At Hands of Hope, our team treats the whole 
system, which means therapy goes far beyond basic Kegel 
exercises. 
We build personalized plans utilizing breath coordination, 
active relaxation, strengthening, and bladder/bowel training 
to help you feel like yourself again.
DM us or call (718) 550-2618 to connect with our team.
📍Our Locations: 
handsofhopeny.com/physical-therapy-clinic/
#PelvicHealth #PhysicalTherapy #WomensHealth</t>
  </si>
  <si>
    <t>2026-10-01</t>
  </si>
  <si>
    <t>You don’t realize how much you’ve grown until you</t>
  </si>
  <si>
    <t>https://www.instagram.com/p/Dd904aliZo4/</t>
  </si>
  <si>
    <t>You don’t realize how much you’ve grown until you 
literally run out of room.
To our referring doctors, our incredibly hard-working 
clinical team, and the local Queens community, thank you. 
Your continued trust in our standard of care is the exact 
reason we needed to find a bigger home.
Our new Whitestone facility at 160-20 Willets Point Blvd is 
officially open. 
We designed this new clinic to give our 
therapists the high-level space they deserve, and to give our 
medical partners the expanded patient capacity they’ve been 
asking for.
Building a practice takes a village, and we are so grateful 
for ours.
#HandsOfHopePT #WhitestoneNY #PhysicalTherapy</t>
  </si>
  <si>
    <t>2026-09-30</t>
  </si>
  <si>
    <t>Nothing means more to our team than hearing how far our patients have come.</t>
  </si>
  <si>
    <t>https://www.instagram.com/p/Dd5v6dsjIfo/</t>
  </si>
  <si>
    <t>Nothing means more to our team than hearing how far our patients have come.
Moments like this remind us that recovery isn't just about treatment plans-it's about real people getting their lives back.
Thank you for trusting us with your care.
Book your evaluation session today:
📞 (718) 550-2618 - 
📍 Our locations: handsofhopeny.com/physical-therapy-clinic/
Or DM us to book.
#HandsOfHopePT #PhysicalTherapy #RecoveryJourney</t>
  </si>
  <si>
    <t>2026-09-26</t>
  </si>
  <si>
    <t>Two techniques, one goal: getting you back to full function!</t>
  </si>
  <si>
    <t>https://www.instagram.com/p/DdvcuHCiDuf/</t>
  </si>
  <si>
    <t>Two techniques, one goal: getting you back to full function!
In Episode 6 of our BTS series, we will break down how Graston Technique breaks down scar tissue and adhesions that limit movement-while paraffin wax delivers deep, soothing heat to loosen stiff joints and boost circulation before your exercises.Together, they help reduce pain, restore range of motion, and speed up recovery.
Swipe for some health treats ➡️
📞 (718) 550-2618 - 📍 Our locations: handsofhopeny.com/physical-therapy-clinic/
Or DM us to book.
#HandsOfHopePT #PhysicalTherapy #RecoveryJourney</t>
  </si>
  <si>
    <t>2026-09-24</t>
  </si>
  <si>
    <t>Intimidated by physical therapy? We hear you.</t>
  </si>
  <si>
    <t>https://www.instagram.com/p/DdrzUImDB9O/</t>
  </si>
  <si>
    <t>Intimidated by physical therapy? We hear you. 
A lot of clinics feel like crowded, chaotic gyms, which is the last thing you want when you’re in pain.
At Hands of Hope, we’ve built our clinics to be the exact opposite. One of our recent patients called us a "low-key, no-judgment zone," and that is exactly the vibe we strive for!
Healing shouldn't be stressful. Come see the difference for yourself! Book your evaluation directly with us today: 
📞 (718) 550-2618 - 📍 Our locations: handsofhopeny.com/physical-therapy-clinic/
Or DM us to book.
#HandsOfHopePT #PhysicalTherapy #RecoveryJourney</t>
  </si>
  <si>
    <t>2026-09-22</t>
  </si>
  <si>
    <t>https://www.instagram.com/p/Ddmpt3biaFL/</t>
  </si>
  <si>
    <t>Real healing requires a real connection! 
Hands of Hope CEO, Dr. Motaz Ebeido, and healthcare expert Amy Lafko discuss how we are using new technology to eliminate the paperwork so our therapists can focus 100% on YOU.
Ready for a physical therapy team that puts you first? 
Book your evaluation session today:
📞 (718) 550-2618 | 📍 Our locations: handsofhopeny.com/physical-therapy-clinic/
Or DM us to book.</t>
  </si>
  <si>
    <t>2026-09-20</t>
  </si>
  <si>
    <t>Surgery fixes the injury, but Occupational Therapy gives you your life back!</t>
  </si>
  <si>
    <t>https://www.instagram.com/p/DdhgMSVjwMj/</t>
  </si>
  <si>
    <t>Surgery fixes the injury, but Occupational Therapy gives you your life back! 
After surgery, we work closely with our patients to rebuild their grip strength and wrist mobility so they can return to the moments that matter most. 
Weeks of work. One dinner table moment that made it all worth it!
Book your evaluation session today:
📞 (718) 550-2618 - 📍 Our locations: handsofhopeny.com/physical-therapy-clinic/
Or DM us to book.
#HandsOfHopePT #PhysicalTherapy #RecoveryJourney</t>
  </si>
  <si>
    <t>2026-09-17</t>
  </si>
  <si>
    <t>Constant dizziness, motion sickness, or feeling off-balance? You might be suffering from a vestibular disorder, and yes, Physical Therapy ca</t>
  </si>
  <si>
    <t>https://www.instagram.com/p/DdZxtdfjdMs/</t>
  </si>
  <si>
    <t>Constant dizziness, motion sickness, or feeling off-balance? You might be suffering from a vestibular disorder, and yes, Physical Therapy can actually fix it!
Your vestibular system (located in your inner ear) controls your balance. When it's off, it can disrupt your entire life. 
At Hands of Hope, our specialized Vestibular Rehabilitation uses targeted exercises to retrain your brain, reduce dizziness, and restore your balance safely. 
Stop living with the spin, reach out to us today to see how we can help you regain your steady footing: 
📞 (718) 550-2618 - 📍 Our locations: handsofhopeny.com/physical-therapy-clinic/
Or DM us to book.
#HandsOfHopePT #PhysicalTherapy #RecoveryJourney</t>
  </si>
  <si>
    <t>Think pelvic floor therapy is only for postpartum moms? Think again!</t>
  </si>
  <si>
    <t>https://www.instagram.com/p/DdSDS7AgKK0/</t>
  </si>
  <si>
    <t>Think pelvic floor therapy is only for postpartum moms? Think again! 
Pelvic Floor PT can be a game-changer for so many hidden, frustrating issues, swipe right to know &gt; 
Stop suffering in silence. Our pelvic floor specialists provide private, compassionate care in a total no-judgment zone. Book your evaluation directly with us today: 
📞 (718) 550-2618 - 📍 Our locations: handsofhopeny.com/physical-therapy-clinic/
Or DM us to book.
#HandsOfHopePT #PhysicalTherapy #RecoveryJourney</t>
  </si>
  <si>
    <t>2026-09-12</t>
  </si>
  <si>
    <t>Tired of just "managing" your pain or relying on quick fixes?</t>
  </si>
  <si>
    <t>https://www.instagram.com/p/DdM5s-ZiDBa/</t>
  </si>
  <si>
    <t>Tired of just "managing" your pain or relying on quick fixes?
At Hands of Hope, our comprehensive pain management therapies, from joint injections and nerve blocks to shockwave therapy, are designed to target the exact source of your discomfort. 
We don't just want to temporarily mask the pain; we want you to finally move freely again. You deserve a life without pain.
Book your evaluation session today:
📞 (718) 550-2618 - 📍 Our locations: handsofhopeny.com/physical-therapy-clinic/
Or DM us to book.
#HandsOfHopePT #PhysicalTherapy #RecoveryJourney</t>
  </si>
  <si>
    <t>2026-09-09</t>
  </si>
  <si>
    <t>Did you know New York is a "Direct Access" state?</t>
  </si>
  <si>
    <t>https://www.instagram.com/p/DdFLWsTDRiG/</t>
  </si>
  <si>
    <t>Did you know New York is a "Direct Access" state? 
That means you can start Physical Therapy at Hands of Hope IMMEDIATELY, no doctor's referral required for up to 10 visits or 30 days! 
Don't let red tape and paperwork delay your pain relief. Skip the waiting room and book your evaluation directly with us today: 
📞 (718) 550-2618 - 📍 Our locations: handsofhopeny.com/physical-therapy-clinic/ Or DM us to book.
#HandsOfHopePT #PhysicalTherapy #RecoveryJourney</t>
  </si>
  <si>
    <t>2026-09-06</t>
  </si>
  <si>
    <t>Enjoy the long weekend!</t>
  </si>
  <si>
    <t>https://www.instagram.com/p/Dc9c61-DFp7/</t>
  </si>
  <si>
    <t>Enjoy the long weekend! 
Labor Day is a reminder to rest and recharge. But if you're spending your day off recovering from chronic pain or a lingering work injury, it's time to get proactive. 
We specialize in Workers' Comp and advanced pain management to get you back to feeling your best, both on and off the clock. 
Have a safe and happy holiday!
📞 (718) 550-2618 - Or DM us to book!
#HandsOfHopePT #PhysicalTherapy #RecoveryJourney</t>
  </si>
  <si>
    <t>2026-09-05</t>
  </si>
  <si>
    <t>“I don't have time to commute for physical therapy."</t>
  </si>
  <si>
    <t>https://www.instagram.com/p/Dc64J90ja5Z/</t>
  </si>
  <si>
    <t>“I don't have time to commute for physical therapy." 
We hear this all the time, which is exactly why Hands of Hope has expanded to over 16 locations across Brooklyn, Queens, Manhattan, The Bronx, and Staten Island!
You shouldn't have to travel an hour for elite, compassionate healthcare. 🗺️ 
Check the link in our bio to find the clinic closest to your home or office, and let's get you on the schedule. 📞 (718) 550-2618 - Or DM us to book! 
#HandsOfHopePT #PhysicalTherapy #RecoveryJourney</t>
  </si>
  <si>
    <t>You have trusted us with your recovery, and because of our amazing community, we are growing!</t>
  </si>
  <si>
    <t>https://www.instagram.com/p/Dc4TV06DUOT/</t>
  </si>
  <si>
    <t>You have trusted us with your recovery, and because of our amazing community, we are growing!
Something huge is coming to our Whitestone neighborhood that will give you the space and upgraded experience your healing journey deserves. 
We are announcing all the details very soon. Stay tuned to see what is next for Hands of Hope!
#HandsofHopeNY #WhitestoneClinic #ClinicUpdate #PhysicalTherapyNYC #ComingSoon</t>
  </si>
  <si>
    <t>2026-09-01</t>
  </si>
  <si>
    <t>Summer is wrapping up, and it’s time to get back into our regular routines. But if you’ve been ignoring a nagging knee ache, a stiff back, o</t>
  </si>
  <si>
    <t>https://www.instagram.com/p/Dcwk9_bFb-d/</t>
  </si>
  <si>
    <t>Summer is wrapping up, and it’s time to get back into our regular routines. But if you’ve been ignoring a nagging knee ache, a stiff back, or an old sports injury all season... now is the time to act! 
Get assessed before the busy fall schedule completely takes over. and make the setup process incredibly easy. Let’s get you feeling 100% again!
Book your evaluation session today:
📞 (718) 550-2618 - 📍 Our locations: handsofhopeny.com/physical-therapy-clinic/
Or DM us to book.
#HandsOfHopePT #PhysicalTherapy #RecoveryJourney</t>
  </si>
  <si>
    <t>2026-08-27</t>
  </si>
  <si>
    <t>What do our partnerships mean for you?</t>
  </si>
  <si>
    <t>https://www.instagram.com/p/Dcjs-q9FB4s/</t>
  </si>
  <si>
    <t>What do our partnerships mean for you? 
Faster access to the techniques that actually get you better.
At Hands of Hope, providing the best care means we never settle for "good enough." 
That’s why we’ve teamed up with the best leaders in the field. These partnerships keep us connected to the latest advancements and equip our clinic with the most effective techniques available.
Our commitment is to your recovery, and collaborating with these experts is how we deliver on that promise every single day.
#HandsOfHopePT #PhysicalTherapy #RecoveryJourney</t>
  </si>
  <si>
    <t>2026-08-25</t>
  </si>
  <si>
    <t>There is no better feeling than knowing we’ve made a difference in our patients' lives!</t>
  </si>
  <si>
    <t>https://www.instagram.com/p/DcejaIfgUYQ/</t>
  </si>
  <si>
    <t>There is no better feeling than knowing we’ve made a difference in our patients' lives! 
Thank you, Mary!  Hearing that we are the 'best place' you've ever experienced means the world to our entire team.
Ready to experience the exceptional care Mary is talking about?
Book your evaluation session today:
📞 (718) 550-2618
📍 Our locations: handsofhopeny.com/physical-therapy-clinic/
Or DM us to book.
#HandsOfHope #SuccessStory</t>
  </si>
  <si>
    <t>2026-08-22</t>
  </si>
  <si>
    <t>Ever wonder how we use advanced technology and functional modifications to resolve your pain?</t>
  </si>
  <si>
    <t>https://www.instagram.com/p/DcW1BhCAVeZ/</t>
  </si>
  <si>
    <t>Ever wonder how we use advanced technology and functional modifications to resolve your pain?
In Episode 5 of our BTS series, we are breaking down how we use Therapeutic Ultrasound and specialized Ergonomic Training to foster healing, maximize your productivity, and protect your body.
Swipe through to see how we treat our patients!
➡️
#PatientCare #TherapeuticUltrasound #Ergonomics #PhysicalTherapy</t>
  </si>
  <si>
    <t>You're reading this with 'Tech Neck' right now!</t>
  </si>
  <si>
    <t>https://www.instagram.com/p/DcRrbR-DdEA/</t>
  </si>
  <si>
    <t>You're reading this with 'Tech Neck' right now!
If your neck and shoulders are screaming after a long day of scrolling or answering emails, it is time to undo the daily damage. 
Swipe through for a simple, 5-second stretch that instantly relieves the massive tension on your upper spine. 
If the stiffness or headaches just won't go away, our physical therapists can help fix them for good.
Book your evaluation session today:
📞 (718) 550-2618
📍 Our locations: handsofhopeny.com/physical-therapy-clinic/
Or DM us to book.
#TechNeck #PostureCorrection #PhysicalTherapy</t>
  </si>
  <si>
    <t>Pain keeps your body stuck in 'defense mode' so it never actually heals!</t>
  </si>
  <si>
    <t>https://www.instagram.com/p/DcJ9BfPHd7p/</t>
  </si>
  <si>
    <t>Pain keeps your body stuck in 'defense mode' so it never actually heals! 
Here's how we switch it off:
Acupuncture is how we give your body permission to drop its guard and start the healing process. Once the pain is out of the way, Occupational Therapy steps in to give that healing a purpose. Whether it is holding a pen without your hand cramping or setting up your desk so your neck stops aching, our team builds a customized plan around your actual life.
Stop settling for temporary relief. Book your evaluation session today:
📞 (718) 550-2618
📍 Our locations: handsofhopeny.com/physical-therapy-clinic/
Or DM us to book.
#HandsOfHopePT #PhysicalTherapy #RecoveryJourney</t>
  </si>
  <si>
    <t>Think of our pain management program as a hard reset for your body!</t>
  </si>
  <si>
    <t>https://www.instagram.com/p/DcCOoxBj7FX/</t>
  </si>
  <si>
    <t>Think of our pain management program as a hard reset for your body! 
When chronic pain crosses your wires, we are here to fix the connection. We use cutting edge medical treatments, like nerve blocks and spinal cord stimulation, to intercept pain signals, paired with expert PT to rebuild your strength.
Hit play on your life again. Book your evaluation session today:
📞 (718) 550-2618
📍 Our locations: handsofhopeny.com/physical-therapy-clinic/
Or DM us to book.
#HandsOfHopePT #PhysicalTherapy #RecoveryJourney</t>
  </si>
  <si>
    <t>2026-08-11</t>
  </si>
  <si>
    <t>$50 in rewards, just for signing up. No hold music, no waiting room guesswork !</t>
  </si>
  <si>
    <t>https://www.instagram.com/p/Db6gSFUjy0Y/</t>
  </si>
  <si>
    <t>$50 in rewards, just for signing up. No hold music, no waiting room guesswork !
We set up this new portal so you never have to wait on hold to book a session or wonder about your progress. To kick things off, you get 5000 points (a $50 reward value) the moment you create your account.
With your dashboard, you can:
- Schedule &amp; manage appointments
- View medical reports
- Track your healing journey
- Earn rewards all from one secure dashboard
Book your evaluation session today:
📞 (718) 550-2618
📍 Our locations: handsofhopeny.com/physical-therapy-clinic/
Or DM us to book.
#HandsOfHopePT #PhysicalTherapy #RecoveryJourney</t>
  </si>
  <si>
    <t>2026-08-08</t>
  </si>
  <si>
    <t>Meet the movers, the healers, and the shakers who make HoH feel like home!</t>
  </si>
  <si>
    <t>https://www.instagram.com/p/Dbyx4l4jWJM/</t>
  </si>
  <si>
    <t>Meet the movers, the healers, and the shakers who make HoH feel like home! 
Building a practice that truly changes lives requires a team that goes above and beyond, and this group does exactly that every single day. 
We are so lucky to have them in our corner, and even luckier that our patients get to work with them.
Swipe through to get to know the absolute best PT team around! 
#PhysicalTherapy #MeetTheTeam #HealthcareProfessionals</t>
  </si>
  <si>
    <t>2026-08-06</t>
  </si>
  <si>
    <t>Worried PT isn't covered? You're probably wrong, and here's the list &gt;</t>
  </si>
  <si>
    <t>https://www.instagram.com/p/DbtoSJMj-V1/</t>
  </si>
  <si>
    <t>Worried PT isn't covered? You're probably wrong, and here's the list &gt;
Don't panic about the cost of getting fixed up. we partner with a massive list of insurance plans so nothing stands in the way of your recovery.
meaning no matter what is in your wallet, we probably take it. 
Book your evaluation session today:
📞 (718) 550-2618
📍 Our locations: handsofhopeny.com/physical-therapy-clinic/
Or DM us to book.
#HealthcareAccess #PhysicalTherapyClinic #HandsOfHopePT</t>
  </si>
  <si>
    <t>2026-08-03</t>
  </si>
  <si>
    <t>Happy National Wellness Month! 💚</t>
  </si>
  <si>
    <t>https://www.instagram.com/p/Dbl55nID_ZM/</t>
  </si>
  <si>
    <t>Happy National Wellness Month! 💚
Which one is your body begging you to fix? Tight shoulders, stiff lower back, or that neck that won't quit? Those are signals asking for attention. 
Taking care of your mobility is the ultimate form of self care. This August, try to tune in.Take regular screen breaks, stretch a little deeper, and celebrate everything your incredible body can do!
#NationalWellnessMonth #ListenToYourBody #HandsofHopeNY</t>
  </si>
  <si>
    <t>2026-07-27</t>
  </si>
  <si>
    <t>Nervous about your first physical therapy appointment? Don’t be! 💙</t>
  </si>
  <si>
    <t>https://www.instagram.com/p/DbT4VVAiY58/</t>
  </si>
  <si>
    <t>Nervous about your first physical therapy appointment? Don’t be! 💙
We want your initial evaluation at Hands of Hope to be seamless and stress free. Your therapist will take the time to listen to your goals, assess your movement, and build a custom Plan of Care to target the root cause of your pain.
Swipe through for your ultimate First Visit Checklist! 
And book your evaluation session today:
📞 (718) 550-2618
📍 Our locations: handsofhopeny.com/physical-therapy-clinic/
Or DM us to book.
#NYCHealth #PTChecklist #PainFreeLiving</t>
  </si>
  <si>
    <t>2026-07-24</t>
  </si>
  <si>
    <t>You don’t need a total lifestyle overhaul to see real change. You just need to start “habit stacking.”</t>
  </si>
  <si>
    <t>https://www.instagram.com/p/DbMJ-uLiCp_/</t>
  </si>
  <si>
    <t>You don’t need a total lifestyle overhaul to see real change. You just need to start “habit stacking.”
We believe building sustainable, realistic habits is the key to moving better, recovering faster, and feeling your absolute best. Swipe through to see how just 5 simple minutes in the morning can completely shift the momentum of your day.
Save this post to remind yourself tomorrow morning, And Book your evaluation session today:
📞 (718) 550-2618
📍 Our locations: handsofhopeny.com/physical-therapy-clinic/
Or DM us to book.
#HandsOfHope #HabitStacking #MorningRoutine</t>
  </si>
  <si>
    <t>Search, tap, and see us on Zocdoc today!</t>
  </si>
  <si>
    <t>https://www.instagram.com/p/DbHAW5llytp/</t>
  </si>
  <si>
    <t>Search, tap, and see us on Zocdoc today! 
Through Zocdoc, you can now find available appointments in real time, choose the time that works best for you, and book your visit in just a few steps, without unnecessary waiting or back and forth communication.
Check availability, book instantly, and choose the time that works for you: www.zocdoc.com ! 
#HandsOfHope #Onlinebooking</t>
  </si>
  <si>
    <t>We are celebrating a huge win for our patient, Shelly!</t>
  </si>
  <si>
    <t>https://www.instagram.com/p/DbB2xx9jR7r/</t>
  </si>
  <si>
    <t>We are celebrating a huge win for our patient, Shelly!
She came to us struggling with severe, limiting neck pain. Through a custom mix of guided exercises and manual therapy, we were able to help her find immediate relief and long term strategies for success.
Thank you for trusting us with your recovery, Shelly!
Don't let neck stiffness control your daily movement. And Book your evaluation session today:
📞 (718) 550-2618
📍 Our locations: handsofhopeny.com/physical-therapy-clinic/
Or DM us to book.
#HandsOfHope #SuccessStory</t>
  </si>
  <si>
    <t>What a journey it's been!</t>
  </si>
  <si>
    <t>https://www.instagram.com/p/DbBFZtzCozR/</t>
  </si>
  <si>
    <t>What a journey it's been! 
Congratulations to Spain on becoming World Cup Champions! And thank you to everyone who celebrated, laughed, and made every matchday so special with the Hands of Hope family.
Until the next World Cup!
#HandsOfHope #WorldCup2026 #CommunityStrong</t>
  </si>
  <si>
    <t>2026-07-18</t>
  </si>
  <si>
    <t>When you are dealing with pain or recovering from an injury, the last thing you want to do is sit through a long, uncomfortable commute just</t>
  </si>
  <si>
    <t>https://www.instagram.com/p/Da8tLRFjBJX/</t>
  </si>
  <si>
    <t>When you are dealing with pain or recovering from an injury, the last thing you want to do is sit through a long, uncomfortable commute just to get relief! 
At Hands of Hope, we believe world class care should be right in your neighborhood. That is why we are incredibly proud to serve you across 16+ convenient clinic locations across NYC.
Find your nearest clinic, link in bio!
#HandsOfHope #Locations</t>
  </si>
  <si>
    <t>2026-07-16</t>
  </si>
  <si>
    <t>Do you forget to take your daily vitamins? You aren’t alone.</t>
  </si>
  <si>
    <t>https://www.instagram.com/p/Da3jmH0jPc8/</t>
  </si>
  <si>
    <t>Do you forget to take your daily vitamins? You aren’t alone.
At Hands of Hope, our IV Therapy bypasses digestion entirely, delivering 100% absorption directly into your bloodstream for faster, more effective results.
Book your evaluation session today:
📞 (718) 550-2618
📍 Our locations: handsofhopeny.com/physical-therapy-clinic/
Or DM us to book.
#HandsOfHope #IvTherapyProgram</t>
  </si>
  <si>
    <t>2026-07-14</t>
  </si>
  <si>
    <t>Occupational therapy is specifically designed to help you regain the skills needed to participate fully in your daily routines!</t>
  </si>
  <si>
    <t>https://www.instagram.com/p/DayaAOviIHl/</t>
  </si>
  <si>
    <t>Occupational therapy is specifically designed to help you regain the skills needed to participate fully in your daily routines! 
With over a decade of experience as a comprehensive wellness provider, our team is ready to be an active partner in your care.
Book your evaluation session today:
📞 (718) 550-2618
📍 Our locations: handsofhopeny.com/physical-therapy-clinic/
Or DM us to book
#HandsOfHope #OccupationalTherapy</t>
  </si>
  <si>
    <t>2026-07-07</t>
  </si>
  <si>
    <t>Sticking to your physical therapy routine takes serious commitment!</t>
  </si>
  <si>
    <t>https://www.instagram.com/p/DagYcB5iEyY/</t>
  </si>
  <si>
    <t>Sticking to your physical therapy routine takes serious commitment!
We see the hard work you put into every single session and we believe that level of dedication deserves to be celebrated.
Already a patient? Ask our front desk team about your VIP status at your next appointment! Not a patient yet? Call (718) 550-2618 to start your journey. 
📍 Our locations: handsofhopeny.com/physical-therapy-clinic/
Or DM us to book.
#HandsOfHope #LoyaltyProgram</t>
  </si>
  <si>
    <t>2026-07-05</t>
  </si>
  <si>
    <t>Tired of the diet roller coaster? Real, lasting weight loss shouldn’t feel like a punishment!</t>
  </si>
  <si>
    <t>https://www.instagram.com/p/DabO4P7jFRn/</t>
  </si>
  <si>
    <t>Tired of the diet roller coaster? Real, lasting weight loss shouldn’t feel like a punishment! 
That's exactly what our Weight Loss Program is all about. By combining breakthrough medications with realistic movement and nutrition habits you can actually stick to, we help you step off the diet roller coaster for good.
Book your evaluation session today:
📞 (718) 550-2618
📍 Our locations: handsofhopeny.com/physical-therapy-clinic/
Or DM us to book.
#HandsOfHope #WeightLossProgram</t>
  </si>
  <si>
    <t>2026-07-01</t>
  </si>
  <si>
    <t>Ever wonder how physical therapy adapts to treat your body both on land and in the water?</t>
  </si>
  <si>
    <t>https://www.instagram.com/p/DaQ7refD1Gq/</t>
  </si>
  <si>
    <t>Ever wonder how physical therapy adapts to treat your body both on land and in the water?
In Episode 4 of our BTS series, we are breaking down how we use advanced Aquatic Therapy and specialized Ergonomic Training to accelerate your recovery, maximize your productivity, and protect your joints.
Swipe through to see how we treat our patients! ➡️
#PatientCare #AquaticTherapy #Ergonomics</t>
  </si>
  <si>
    <t>"Best physical therapy near me..." 🔍 Found us!</t>
  </si>
  <si>
    <t>https://www.instagram.com/p/DZ-6HMnCBnZ/</t>
  </si>
  <si>
    <t>"Best physical therapy near me..." 🔍 Found us!
With 16+ convenient locations across NYC, no matter which door you walk through, you get the same unified, high quality care tailored exactly to your body.
Click the link in our bio to schedule an appointment near you!
#ClinicLocations #NYCPT</t>
  </si>
  <si>
    <t>2026-06-21</t>
  </si>
  <si>
    <t>You don't have to live with the noise!</t>
  </si>
  <si>
    <t>https://www.instagram.com/p/DZ3Lt2NgAK-/</t>
  </si>
  <si>
    <t>You don't have to live with the noise!
Our Pain Management Program uses an advanced toolbox of medical interventions and targeted physical therapy to stop pain at the source.
Ready to turn down the volume? 
Link in bio to schedule your complimentary consultation!
#PainRelief #ChronicPain #HandsOfHope</t>
  </si>
  <si>
    <t>Can you spot the difference?</t>
  </si>
  <si>
    <t>https://www.instagram.com/p/DZvdV1ziSFp/</t>
  </si>
  <si>
    <t>Can you spot the difference?
Doing the right exercises with the wrong form can actually do more harm than good!
(Hint: Look at the knees on the left side!). 
At Hands of Hope, We monitor every single movement to make sure you are building strength safely. 
Tell us which side is correct in the comments! 👇
#PT #NYCHealth #HandsOfHope</t>
  </si>
  <si>
    <t>2026-06-15</t>
  </si>
  <si>
    <t>This is why we do what we do. 💚</t>
  </si>
  <si>
    <t>https://www.instagram.com/p/DZnu_uiATBS/</t>
  </si>
  <si>
    <t>This is why we do what we do. 💚
Thank you Dawn Dew for trusting us with your recovery. Your words inspires our team every single day!
Are you ready to write your own comeback story?
Contact us at (718) 550-2618 and schedule your complimentary evaluation session !
#PT #NYCHealth #HandsOfHope</t>
  </si>
  <si>
    <t>We know starting rehab can feel intimidating, but at Hands of Hope, your first day is all about listening!</t>
  </si>
  <si>
    <t>https://www.instagram.com/p/DZilXI5DWg7/</t>
  </si>
  <si>
    <t>We know starting rehab can feel intimidating, but at Hands of Hope, your first day is all about listening!
No scary machines, no intense workouts, just a conversation about your pain and a clear plan to fix it.
The door is always open, Contact us at (718) 550-2618 today to schedule your complimentary evaluation session!
#PT #NYCHealth #HandsOfHope</t>
  </si>
  <si>
    <t>Are you excited for the World Cup 2026? We definitely are!</t>
  </si>
  <si>
    <t>https://www.instagram.com/p/DZgAlawDFpq/</t>
  </si>
  <si>
    <t>Are you excited for the World Cup 2026? We definitely are!
But while you're cheering for your favorite team, don't forget to take care of your own team.. Your body.
We've put together a few simple mobility tips to help you stay comfortable and enjoy every minute of the action!
👉 Swipe to learn how to keep your body moving on match day.
#HandsOfHope #WorldCup2026 #Mobility</t>
  </si>
  <si>
    <t>Our care doesn't stop when you leave the clinic!</t>
  </si>
  <si>
    <t>https://www.instagram.com/p/DZdbzqoCVnH/</t>
  </si>
  <si>
    <t>Our care doesn't stop when you leave the clinic! 
Here are 3 ways to use things you already have at home to keep your body moving beautifully. 
Which one are you trying today? 
Let us know in the comments!
#AtHomePT #PostureCorrection #PhysicalTherapy</t>
  </si>
  <si>
    <t>2026-06-09</t>
  </si>
  <si>
    <t>When you take oral supplements, you lose most of the benefits during digestion.</t>
  </si>
  <si>
    <t>https://www.instagram.com/p/DZYSLy6jDfY/</t>
  </si>
  <si>
    <t>When you take oral supplements, you lose most of the benefits during digestion. 
IV Therapy completely changes the equation. We bypass the gut to deliver 100% absorption of essential vitamins, antioxidants, and hydration for immediate results.
Upgrade your wellness routine today and tap the link in bio to explore our IV Menu!
#IVDrip #ImmunityBoost #WellnessHacks</t>
  </si>
  <si>
    <t>2026-06-04</t>
  </si>
  <si>
    <t>Stop trying to force the wrong puzzle piece into your life!</t>
  </si>
  <si>
    <t>https://www.instagram.com/p/DZLaPTajwmz/</t>
  </si>
  <si>
    <t>Stop trying to force the wrong puzzle piece into your life!
We believe in building a weight loss plan that actually fits you. A perfect fit of safe medical support, custom movement, and sustainable nutrition. 
Book your complimentary consultation at the link in our bio!
#HealthyLifestyle #WeightLossClinic #Semaglutide</t>
  </si>
  <si>
    <t>2026-05-27</t>
  </si>
  <si>
    <t>For years, diet culture has told us that if we just "tried harder," we’d lose the weight. But what if your biology was actually working agai</t>
  </si>
  <si>
    <t>https://www.instagram.com/p/DY2z6XZiZMV/</t>
  </si>
  <si>
    <t>For years, diet culture has told us that if we just "tried harder," we’d lose the weight. But what if your biology was actually working against you? 
End the yo-yo cycle for good. Let’s get your biology working for you! 
Link in bio to book your complimentary evaluation session!
#HandsOfHopeNY #EndDietCulture</t>
  </si>
  <si>
    <t xml:space="preserve">As we celebrate Eid al-Adha, we are reminded of the power of sacrifice, gratitude, and community. Thank you for partnering with us to share </t>
  </si>
  <si>
    <t>https://www.instagram.com/p/DY1o501AOup/</t>
  </si>
  <si>
    <t>As we celebrate Eid al-Adha, we are reminded of the power of sacrifice, gratitude, and community. Thank you for partnering with us to share blessings and bring hope to families in need.
Wishing you and your loved ones a joyful, peaceful, and blessed Eid! 🕊️❤️
#EidMubarak #EidAlAdha #HandsOfHope #SpreadJoy #Community</t>
  </si>
  <si>
    <t>2026-05-24</t>
  </si>
  <si>
    <t>If you bought a car, would you be happy if only 20% of the engine worked?</t>
  </si>
  <si>
    <t>https://www.instagram.com/p/DYvFdyHiHim/</t>
  </si>
  <si>
    <t>If you bought a car, would you be happy if only 20% of the engine worked? 
Then why settle for 20% absorption from your vitamins?
MYTH: The oral route is the gold standard. FACT: IV Therapy is the only way to get 100%. 
📞 Call (718) 550-2618 to book the gold standard of wellness! 
#100%Wellness #Bioavailability #EnergyBoost</t>
  </si>
  <si>
    <t>Not sure which type of therapy you actually need? Swipe through and let’s check your symptoms! 👉</t>
  </si>
  <si>
    <t>https://www.instagram.com/p/DYnXI6pDVGX/</t>
  </si>
  <si>
    <t>Not sure which type of therapy you actually need? Swipe through and let’s check your symptoms! 👉
Remember that you don't have to figure it out alone. Contact us at (718) 550-2618 today to schedule your complimentary evaluation session !
#HandsOfHope #PT #OT</t>
  </si>
  <si>
    <t>2026-05-19</t>
  </si>
  <si>
    <t>Patient Success Story! 🌟</t>
  </si>
  <si>
    <t>https://www.instagram.com/p/DYiNleSDQIc/</t>
  </si>
  <si>
    <t>Patient Success Story! 🌟
Helping our patients find the true root of their pain is our proudest accomplishment. We firmly believe you deserve a connected approach to your health!
Link in bio to start your own success story!
#PatientSuccess #HandsOfHope</t>
  </si>
  <si>
    <t>2026-05-16</t>
  </si>
  <si>
    <t>Your health is our priority, but your loyalty means the world to us. 💚</t>
  </si>
  <si>
    <t>https://www.instagram.com/p/DYafHDDDQcf/</t>
  </si>
  <si>
    <t>Your health is our priority, but your loyalty means the world to us. 💚 
Earn points for every session and climb our Silver, Gold, and Platinum tiers. The higher you go, the better the perks, including Free Monthly Services, Priority Booking, Free Wellness Products, Discounts and MORE! 
Register now on our website to join the club and see what you can unlock, link in bio!
#HandsOfHope #RewardYourself #PatientCare</t>
  </si>
  <si>
    <t>2026-05-14</t>
  </si>
  <si>
    <t>It is frustrating when your mind knows exactly what to do, but your body won't cooperate!</t>
  </si>
  <si>
    <t>https://www.instagram.com/p/DYVVhyFAIrL/</t>
  </si>
  <si>
    <t>It is frustrating when your mind knows exactly what to do, but your body won't cooperate! 
Living with Parkinson’s, MS, or navigating life after a stroke can make you feel betrayed by your own body. We see how exhausting it is. We see how hard you are trying.
Let’s take the next step together. Reach out to our team today: 
📞 (718) 550-2618
🌐 handsofhopeny.com
#HandsOfHope #NeuroRehab</t>
  </si>
  <si>
    <t>Waking up with a sharp stabbing pain in your heel?</t>
  </si>
  <si>
    <t>https://www.instagram.com/p/DYQL7YQifui/</t>
  </si>
  <si>
    <t>Waking up with a sharp stabbing pain in your heel?
You might be dealing with Plantar Fasciitis.
Those first few steps out of bed can be brutal, but there are simple adjustments you can make at home to find relief and start healing.
Swipe through our Do's and Don'ts for managing morning heel pain! ➡️
And contact us at (718) 550-2618 today.</t>
  </si>
  <si>
    <t>2026-05-09</t>
  </si>
  <si>
    <t>To the moms, grandmas, stepmoms, and mother figures: thanks for the healing power of your touch 🌸</t>
  </si>
  <si>
    <t>https://www.instagram.com/p/DYIdl07gfNd/</t>
  </si>
  <si>
    <t>To the moms, grandmas, stepmoms, and mother figures: thanks for the healing power of your touch 🌸
Because your well being means the world to us, Hands of Hope is proudly gifting a Complimentary Evaluation Session to all the incredible moms stepping through our doors as new patients.
Wishing you a beautiful and restorative Mother’s Day! 
*Terms and conditions apply.
#MothersDay #HandsOfHope #Caregivers</t>
  </si>
  <si>
    <t>2026-05-07</t>
  </si>
  <si>
    <t>No woman should walk her health journey alone.🩵</t>
  </si>
  <si>
    <t>https://www.instagram.com/p/DYDT_i9k-yf/</t>
  </si>
  <si>
    <t>No woman should walk her health journey alone.🩵 
Today is World Ovarian Cancer Day. With the 2026 theme being #NoWomanLeftBehind, the most powerful thing we can do as a community is educate ourselves and each other.
Share this post to remind the women in your life to prioritize their health today!
#WorldOvarianCancerDay #WOCD2026 #NoWomanLeftBehind</t>
  </si>
  <si>
    <t>2026-05-06</t>
  </si>
  <si>
    <t>Ever wonder what actually happens during physical therapy? It's not just stretches and ice packs!</t>
  </si>
  <si>
    <t>https://www.instagram.com/p/DYBWjJCDbKL/</t>
  </si>
  <si>
    <t>Ever wonder what actually happens during physical therapy? It's not just stretches and ice packs! 
In Episode 2 of our BTS series, we are breaking down how we use ACL Prevention training and Kinesio Taping to support your healing. 
Swipe through to see how we treat our patients! ➡️
#PatientCare #ACLPrevention #KinesioTape</t>
  </si>
  <si>
    <t>2026-05-02</t>
  </si>
  <si>
    <t>It’s time for a neighborhood check in! 📍</t>
  </si>
  <si>
    <t>https://www.instagram.com/p/DX2jZcODWHc/</t>
  </si>
  <si>
    <t>It’s time for a neighborhood check in! 📍
We have meticulously placed our clinics across NYC, ensuring that a warm, connecting experience is never more than a few minutes away.
👉 Swipe through to see which of our locations you claim as your home clinic! 
#ClinicLocations #PatientExperience #NeighborhoodHealthcare</t>
  </si>
  <si>
    <t>2026-04-30</t>
  </si>
  <si>
    <t>Living with chronic pain is exhausting!</t>
  </si>
  <si>
    <t>https://www.instagram.com/p/DXxQyV_jVTP/</t>
  </si>
  <si>
    <t>Living with chronic pain is exhausting!
It takes a toll on your mind, making you feel like a crucial piece of your daily life is missing! 
We help you put the pieces back together so you can get back to living fully. 
Contact us at (718) 550-2618 today to schedule your complimentary evaluation session !
#ChronicPain #PainManagement</t>
  </si>
  <si>
    <t>Swelling after surgery can be scary, but in fact, it means your body is doing exactly what it needs to do to heal!</t>
  </si>
  <si>
    <t>https://www.instagram.com/p/DXpkMNgDwWH/</t>
  </si>
  <si>
    <t>Swelling after surgery can be scary, but in fact, it means your body is doing exactly what it needs to do to heal! 
Your body floods the surgical site with nutrient rich fluid to rebuild damaged tissue. That extra fluid is exactly what causes the stiffness.
Once those nutrients are delivered, physical therapy acts like a natural pump to clear the fluid out so you can regain your mobility!
We are here to guide you every step of the way Contact us now ! 📞 (718) 550-2618
#SurgeryRecovery #PhysicalTherapist #HandsOfHope</t>
  </si>
  <si>
    <t>2026-04-24</t>
  </si>
  <si>
    <t>https://www.instagram.com/p/DXhh0hWjYR8/</t>
  </si>
  <si>
    <t>We were under new management yesterday ! 👶 
The new bosses demanded more pizza breaks and mandatory bounce ball sessions!
It was an incredibly busy and memorable #TakeYourChildToWorkDay! Thank you to our amazing team for your support, and for making sure the clinic was still standing by 5 PM.🍕
#HandsOfHope #TakeYourChildToWorkDay</t>
  </si>
  <si>
    <t>2026-04-23</t>
  </si>
  <si>
    <t>Recovery isn’t one size fits all.</t>
  </si>
  <si>
    <t>https://www.instagram.com/p/DXfXtF_iT0z/</t>
  </si>
  <si>
    <t>Recovery isn’t one size fits all.
At Hands of Hope, we combine innovative tools and personalized approaches to support every patient’s journey to better movement and health.
Every technique we use has a purpose: helping you move, feel, and live better.
Swipe through to discover some of the approaches we use in our treatments ➡️
#PhysicalTherapy #PatientCare #RecoveryJourney</t>
  </si>
  <si>
    <t>2026-04-21</t>
  </si>
  <si>
    <t>According to the U.S. Bureau of Labor Statistics, nearly 3 million nonfatal workplace injuries occur every year.</t>
  </si>
  <si>
    <t>https://www.instagram.com/p/DXaOI3njX0D/</t>
  </si>
  <si>
    <t>According to the U.S. Bureau of Labor Statistics, nearly 3 million nonfatal workplace injuries occur every year.
At Hands of Hope, we help patients recover from workplace injuries and prevent future ones through targeted exercises, manual therapy, ergonomic education, and pain management, So you can heal and get back to work sooner ! 
📞 (718) 550-2618
🌐 handsofhopeny.com
#WorkplaceInjury #InjuryRecovery  #PhysicalTherapy  #InjuryPrevention</t>
  </si>
  <si>
    <t>Pelvic pain doesn’t have to control your life!</t>
  </si>
  <si>
    <t>https://www.instagram.com/p/DXXbpdjDfez/</t>
  </si>
  <si>
    <t>Pelvic pain doesn’t have to control your life!
At Hands of Hope, we help you get back to moving, living, and feeling your best.
Call us today at (718) 550-2618 to schedule your complimentary evaluation!
#PelvicPainRelief  #PhysicalTherapy  #FeelBetterMoveBetter</t>
  </si>
  <si>
    <t>In today’s world, there’s a solution for almost every illness. Even if you feel healing seems impossible, you can start living your daily li</t>
  </si>
  <si>
    <t>https://www.instagram.com/p/DXP6-qKjOqq/</t>
  </si>
  <si>
    <t>In today’s world, there’s a solution for almost every illness. Even if you feel healing seems impossible, you can start living your daily life effortlessly again, you just have to give yourself a chance.
Don’t give up on yourself. Try Occupational Therapy and restore the life you deserve.
Contact us at (718) 550-2618 today to schedule your complimentary evaluation session ! 
#OccupationalTherapy #NeverGiveUp #HealingJourney #RestoreYourLife</t>
  </si>
  <si>
    <t>If you asked any one of us what the happiest moment of the day is, we would say it’s seeing our efforts rewarded, when our patients feel les</t>
  </si>
  <si>
    <t>https://www.instagram.com/p/DXKxbhZjLKt/</t>
  </si>
  <si>
    <t>If you asked any one of us what the happiest moment of the day is, we would say it’s seeing our efforts rewarded, when our patients feel less pain, get better, or simply feel satisfied.
Thank you to all our patients for making our days brighter, again and again, over the past 10 years! 💚
#PatientAppreciation #GratefulHeart #HealthcareHeroes</t>
  </si>
  <si>
    <t>At Hands of Hope, our patients and therapists dance, laugh, and grow stronger together!</t>
  </si>
  <si>
    <t>https://www.instagram.com/p/DXFn1LnFc_R/</t>
  </si>
  <si>
    <t>At Hands of Hope, our patients and therapists dance, laugh, and grow stronger together! 
Every smile, every step, every movement is part of the journey toward feeling like yourself again. 
Come experience recovery that feels human, fun, and full of heart. Visit our website to know more, link in bio! 
#RecoveryJourney #HealingWithHeart #FeelGoodHealing</t>
  </si>
  <si>
    <t>2026-04-11</t>
  </si>
  <si>
    <t>IV therapy has so many uses, and it can help elevate your overall health in just one injection but it’s not only for that!</t>
  </si>
  <si>
    <t>https://www.instagram.com/p/DXAeNVaky3E/</t>
  </si>
  <si>
    <t>IV therapy has so many uses, and it can help elevate your overall health in just one injection but it’s not only for that!
Swipe right and let’s see what the IV therapy menu includes.
Decide which one you need the most and call us at (718) 550-2618 to book your session now.
#IVTherapy #BoostYourHealth #WellnessJourney</t>
  </si>
  <si>
    <t>Around the comer, across the city and always here for you!</t>
  </si>
  <si>
    <t>https://www.instagram.com/p/DW4vN0bDz6s/</t>
  </si>
  <si>
    <t>Around the comer, across the city and always here for you! 
Hands of Hope, NYC's go to for recovery, wellness, and feeling your best.
Find us in: Brooklyn, Queens, Manhattan, Bronx, Staten Island
📞 (718) 550-2618
🌐 handsofhopeny.com
#HandsOfHope #NYCWellness
#RecoveryCare</t>
  </si>
  <si>
    <t>Brooklyn, Queens, Manhattan, Bronx, Staten Island ... no matter where the needle lands, expert care is right around the corner. 📍</t>
  </si>
  <si>
    <t>https://www.instagram.com/p/DWhkr-jkcWo/</t>
  </si>
  <si>
    <t>Brooklyn, Queens, Manhattan, Bronx, Staten Island ... no matter where the needle lands, expert care is right around the corner. 📍
Find your nearest location, link in bio.! 
 #HandsOfHope #NYC #WeAreEverywhere</t>
  </si>
  <si>
    <t>2026-03-28</t>
  </si>
  <si>
    <t>Does your shoulder pain feel like a never ending story of limitations?</t>
  </si>
  <si>
    <t>https://www.instagram.com/p/DWcbIMcDDas/</t>
  </si>
  <si>
    <t>Does your shoulder pain feel like a never ending story of limitations? 
From reaching for a coffee cup to sleep interference, shoulder pain affects nearly 25% of adults in the US.
But your story doesn't have to end in pain.
Swipe to see the journey from struggle to freedom. 👉
#NoMoreLimits #TakeBackYourLife #ShoulderPainRelief</t>
  </si>
  <si>
    <t>You know that friend who always complains about their back? Or the running buddy with the bad knee? 🏃‍♂️</t>
  </si>
  <si>
    <t>https://www.instagram.com/p/DWXRdhSDegi/</t>
  </si>
  <si>
    <t>You know that friend who always complains about their back? Or the running buddy with the bad knee? 🏃‍♂️
Do them (and yourself) a huge favor.
Refer them to Hands of Hope and earn 3,000 Loyalty Points!
That’s $30 you can use toward:
 - Cash Based Services
 - Premium wellness Products
Contact us at (718) 550-2618 now! 
#ReferralPerks #FriendsHelpingFriends #WellnessCommunity</t>
  </si>
  <si>
    <t>Astoria community, you brought the energy! 🎊</t>
  </si>
  <si>
    <t>https://www.instagram.com/p/DWPJnaRioWI/</t>
  </si>
  <si>
    <t>Astoria community, you brought the energy! 🎊
The vibes were amazing, and everyone was moving to the rhythm.
We’re so glad we got to share the fun with all of you! 💚</t>
  </si>
  <si>
    <t>2026-03-22</t>
  </si>
  <si>
    <t>If you are reading this at your desk, pause and assess your body.</t>
  </si>
  <si>
    <t>https://www.instagram.com/p/DWM-XMWAdFt/</t>
  </si>
  <si>
    <t>If you are reading this at your desk, pause and assess your body.
Are your shoulders tense? Is your neck jutting forward?
Try this 4-point checklist right now:
1- Feet: Flat on the floor.
2- Shoulders: Relaxed down, away from ears.
3- Head: Stacked directly over your shoulders to fix "tech neck." 
4- Core: Gently engaged for support.
Repeat this hourly. It’s a small investment of time, but your back will thank you when you clock out today.
#WorkplaceWellness #Ergonomics #PostureTips</t>
  </si>
  <si>
    <t>Daily life is made of small moments.</t>
  </si>
  <si>
    <t>https://www.instagram.com/p/DWH0xa_kWJH/</t>
  </si>
  <si>
    <t>Daily life is made of small moments.
When those moments start to feel exhausting, painful, or frustrating, it’s not a weakness, it’s a sign you need support that fits real life.
So we’re excited to announce Occupational Therapy is now available at our Astoria and Woodhaven locations.
Call us at (718) 550-2618 for more information! 
#OccupationalTherapy #OTServices #HandsOfHope</t>
  </si>
  <si>
    <t>2026-03-19</t>
  </si>
  <si>
    <t>Today is a celebration of joy, community, and gratitude.</t>
  </si>
  <si>
    <t>https://www.instagram.com/p/DWFP9bGgTO5/</t>
  </si>
  <si>
    <t>Today is a celebration of joy, community, and gratitude.
Enjoy the sweets, cherish the family time, and carry this new energy forward into your wellness journey.
Happy Eid!
#EidAlFitr #Community #Connection</t>
  </si>
  <si>
    <t>2026-03-16</t>
  </si>
  <si>
    <t>Lower back pain pulling you down every time you try to move forward?</t>
  </si>
  <si>
    <t>https://www.instagram.com/p/DV9eCsDjY3d/</t>
  </si>
  <si>
    <t>Lower back pain pulling you down every time you try to move forward? 
You're not alone, over 80% of adults experience it. It’s time to cut that rope! 
At Hands of Hope, we don't just treat symptoms, we target the source with a results oriented plan tailored to you.
Check your nearest location and book your session, link in bio! 
#CutThePain #FeelBetterToday #BackPainRelief</t>
  </si>
  <si>
    <t>Not sure which path to wellness fits you?</t>
  </si>
  <si>
    <t>https://www.instagram.com/p/DVzOTMaCDuY/</t>
  </si>
  <si>
    <t>Not sure which path to wellness fits you? 
The journey to better health isn't one size fits all. 
Don't get lost in the options and take our quick quiz to unlock your personalized roadmap!
Take the quiz now, link in bio! 
#WellnessQuiz #PersonalizedWellness 
#KnowYourBody #InvestInYou</t>
  </si>
  <si>
    <t>Find peace with your plate!</t>
  </si>
  <si>
    <t>https://www.instagram.com/p/DVuEufogZFh/</t>
  </si>
  <si>
    <t>Find peace with your plate!
Our Weight Loss Program helps you regain control through appetite-regulating medication, healthy eating guidance, and tailored exercise plans for lasting results.
Call us at (718) 550-2618 to join our weight loss program! 
#WeightLossProgram #MedicalWeightLoss #HandsOfHope #HealthyWeight</t>
  </si>
  <si>
    <t>Our yoga events have been such a huge success that we’re bringing you a brand new COMPLIMENTARY Spring Yoga event on March 14!</t>
  </si>
  <si>
    <t>https://www.instagram.com/p/DVt0hD-jUTH/</t>
  </si>
  <si>
    <t>Our yoga events have been such a huge success that we’re bringing you a brand new COMPLIMENTARY Spring Yoga event on March 14!
Come stretch it out at our Bedford clinic. 
Address: 1467 Bedford Ave, Brooklyn, NY, 11216
Tag a friend who needs this and visit our website to register your spot, link in bio! 
Due to limited spots A $10 registration deposit is required, and you will be fully refunded the moment you attend your session.
 #TrustedExperts #CommunityLove #WellnessEvents #MindBodySoul</t>
  </si>
  <si>
    <t>2026-03-09</t>
  </si>
  <si>
    <t>There is no better feeling than seeing our patients walk out these doors stronger, happier, and healthier than when they walked in.</t>
  </si>
  <si>
    <t>https://www.instagram.com/p/DVrZJKdDzfS/</t>
  </si>
  <si>
    <t>There is no better feeling than seeing our patients walk out these doors stronger, happier, and healthier than when they walked in.
These are just three of the hundreds of success stories we’ve been privileged to be a part of 🙏
Are you ready to be our next success story? 
Call us at (718) 550-2618 to book your session now. 
#RealResults #HealingJourneys #SuccessStories #HandsOfHope</t>
  </si>
  <si>
    <t>We know that the best outcomes come from experienced care.</t>
  </si>
  <si>
    <t>https://www.instagram.com/p/DVen8a6DK-X/</t>
  </si>
  <si>
    <t>We know that the best outcomes come from experienced care.
That’s why the Hands of Hope team is dedicated to providing top tier treatment backed by 10+ years of combined experience in the field!
Experience the difference a highly skilled team can make and book your session, link in bio.
#ExperiencedCare #TrustedExperts #SkilledHands</t>
  </si>
  <si>
    <t>2026-03-03</t>
  </si>
  <si>
    <t>DROP EVERYTHING! 🛑</t>
  </si>
  <si>
    <t>https://www.instagram.com/p/DVblGsRDZ3e/</t>
  </si>
  <si>
    <t>DROP EVERYTHING! 🛑
Come experience a targeted cupping therapy session that melts away muscle tension and leaves you feeling completely renewed.
And while you’re at it, make sure to ask our front desk about the Loyalty Program to claim your free gift bag!
Tag a friend who needs this and register your spot on our website!
Due to limited spots A $10 registration deposit is required, and you will be fully refunded the moment you attend your session.</t>
  </si>
  <si>
    <t>2026-03-02</t>
  </si>
  <si>
    <t>This is what optimal nourishment looks like!</t>
  </si>
  <si>
    <t>https://www.instagram.com/p/DVZeWKfj9VW/</t>
  </si>
  <si>
    <t>This is what optimal nourishment looks like! 
Our IV Therapy bypasses the digestive system completely, delivering powerful vitamins, minerals, and nutrients directly into your bloodstream. 
This means your body absorbs 100% of the good stuff for faster, more effective results. 
Contact Us to book your IV session now, link in bio! 
#IVTherapy #OptimalNourishment #WellnessBoost #VitaminInfusion</t>
  </si>
  <si>
    <t>Carrying the weight of chronic pain isn't "living", it's just surviving!</t>
  </si>
  <si>
    <t>https://www.instagram.com/p/DVSSVsgj5Qv/</t>
  </si>
  <si>
    <t>Carrying the weight of chronic pain isn't "living", it's just surviving!
Too many people accept pain as their new normal. We are here to tell you: You don't have to settle for that! 
We use targeted pain management treatments to
Put the weight down💚
Don't settle and Book your session now at handsofhopeny.com 
#DontSettleForPain #LiveFreely #PainManagementProgram</t>
  </si>
  <si>
    <t>February was unforgettable!</t>
  </si>
  <si>
    <t>https://www.instagram.com/p/DVRshjqDcEK/</t>
  </si>
  <si>
    <t>February was unforgettable! 
From making bracelets in Staten Island, to yoga at Atlantic, and glowing up in Williamsburg, we loved connecting with you! 
Which one was your favorite? Let us know below, and get ready… we have more fun planned for March! 👀👇
#WellnessEvents #CommunityLove #PatientAppreciation</t>
  </si>
  <si>
    <t>No matter where you are on the map, relief is just a short hop, skip, or glide away.</t>
  </si>
  <si>
    <t>https://www.instagram.com/p/DVMmZ4JDlP5/</t>
  </si>
  <si>
    <t>No matter where you are on the map, relief is just a short hop, skip, or glide away.
Pick your closest checkpoint and press start on your recovery journey! 📍
Our 16 locations are across NYC:
(Brooklyn – Queens – Manhattan – Atlantic – Bronx – Staten Island)
Check them out now at https://handsofhopeny.com/contact/
#MappingWellness #TheRoadToRecovery
#HandsOfHopeLocations</t>
  </si>
  <si>
    <t>What a day!</t>
  </si>
  <si>
    <t>https://www.instagram.com/p/DVHcy1YjQII/</t>
  </si>
  <si>
    <t>What a day! 
There is nothing quite like the energy of moving and breathing in a room full of amazing people. 
Thank you for bringing the laughs, the good vibes, and the dedication to our yoga event! We couldn’t ask for a better community to share this journey with.
We hope you carried that post-yoga bliss all the way home.
Stay tuned for the upcoming events! 
#BetterTogether #WellnessJourney #MindBodySoul</t>
  </si>
  <si>
    <t>https://www.instagram.com/p/DU9JmsmD9sC/</t>
  </si>
  <si>
    <t>Can you believe it’s been 10 years? 🎈 
Today, we are overwhelmed with gratitude for the thousands of patients who have trusted Hands of Hope with their recovery.
Thank you to our dedicated staff and our amazing community for making this journey possible. Here is to many more decades of healing together! 💚
#10YearAnniversary #DecadeOfHealing #HandsOfHope10Years</t>
  </si>
  <si>
    <t>May the light of this holy month shine upon your homes and your hearts, washing away pain and replacing it with peace.🌙💚</t>
  </si>
  <si>
    <t>https://www.instagram.com/p/DU6kz7zE8W7/</t>
  </si>
  <si>
    <t>May the light of this holy month shine upon your homes and your hearts, washing away pain and replacing it with peace.🌙💚
Ramadan Kareem! 
#ramadankareem2026  #HandsOfHope #lightandwellness</t>
  </si>
  <si>
    <t>2026-02-15</t>
  </si>
  <si>
    <t>You deserve a little self-love this February! 💖</t>
  </si>
  <si>
    <t>https://www.instagram.com/p/DUy2cnmiMHw/</t>
  </si>
  <si>
    <t>You deserve a little self-love this February! 💖
Join us for a complimentary skincare event at Hands of Hope, a day of pampering and fun, all about YOU.
📅 When: 20 / February 
📍 Where: Hands of Hope | Williamsburg Clinic | 53 Broadway, Brooklyn, NY 11249
Spots are limited, so sign up now: https://respondto.forms.app/handsofhopeinfo/skincare 
#HandsOfHope #SkinCareEvent #ComplimentaryGlow</t>
  </si>
  <si>
    <t>2026-02-13</t>
  </si>
  <si>
    <t>This Valentine’s Day, we celebrate the strongest muscle of all, the heart. ❤️</t>
  </si>
  <si>
    <t>https://www.instagram.com/p/DUts1XjCk2r/</t>
  </si>
  <si>
    <t>This Valentine’s Day, we celebrate the strongest muscle of all, the heart. ❤️ 
In Hands Of Hope, love shows up as compassion, patience, and dedication. And we’re grateful to share that with you every day.
Happy Valentine’s Day from our team to you! 
#HandsOfHope #FeelTheLove #LoveAndWellness</t>
  </si>
  <si>
    <t>2026-02-05</t>
  </si>
  <si>
    <t>February is the month of love, but we believe the best kind of love is self-love. 💕</t>
  </si>
  <si>
    <t>https://www.instagram.com/p/DUZGej3CHk8/</t>
  </si>
  <si>
    <t>February is the month of love, but we believe the best kind of love is self-love. 💕
You are invited to join the Hands of Hope family at our Atlantic Clinic for an exclusive, Complimentary yoga Event. 
📅 When: 14 / February 📍 Where: Hands of Hope | Atlantic Clinic
Spaces are limited, Register now and join us for a mindful pause in your day:
https://respondto.forms.app/handsofhopeinfo/valentine-yoga 
#CommunityCare #ValentinesDay2026
#MindBodyBalance</t>
  </si>
  <si>
    <t>2026-02-03</t>
  </si>
  <si>
    <t>On World Cancer Day, we celebrate the strength it takes to ring the bell and survive cancer! 🎗</t>
  </si>
  <si>
    <t>https://www.instagram.com/p/DUT85tYj8OY/</t>
  </si>
  <si>
    <t>On World Cancer Day, we celebrate the strength it takes to ring the bell and survive cancer! 🎗
Survivorship is just the beginning of a new, beautiful chapter full of healing. 
And we are glad to be part of the journey by providing physical therapy to help every survivor start living again by restoring movement, strength, and confidence.
At Hands of Hope, we support you every step of the way back to everyday life.💜
Let us be part of your journey and Call us at (718) 550-2618 to learn more and request an appointment!
#WorldCancerDay #CelebrateSurvivors #Hero</t>
  </si>
  <si>
    <t>2026-02-01</t>
  </si>
  <si>
    <t>Welcome to Hands Of Hope Loyalty Program!</t>
  </si>
  <si>
    <t>https://www.instagram.com/p/DUOzSDEDMQN/</t>
  </si>
  <si>
    <t>Welcome to Hands Of Hope Loyalty Program!
Every step you take toward recovery no matter what it is isn’t just healing, it’s leveling up on a quest for exclusive rewards.
So… how high will you climb?
Book now at handsofhopeny.com !
#PhysicalTherapyLife #LoyaltyProgram #PatientPerks</t>
  </si>
  <si>
    <t>2026-01-29</t>
  </si>
  <si>
    <t>2026-01</t>
  </si>
  <si>
    <t>No matter where life takes you, Hands of Hope is never far away.</t>
  </si>
  <si>
    <t>https://www.instagram.com/p/DUHE6gxjTRm/</t>
  </si>
  <si>
    <t>No matter where life takes you, Hands of Hope is never far away.
With 16 locations across NYC, we're here for you wherever you are.
Your wellness is just around the corner, schedule now at handsofhopeny.com
#HandsOfHopeFamily #WellnessWithHeart</t>
  </si>
  <si>
    <t>2026-01-27</t>
  </si>
  <si>
    <t>We are expanding the ways we care for you!</t>
  </si>
  <si>
    <t>https://www.instagram.com/p/DUBit4IDZgr/</t>
  </si>
  <si>
    <t>We are expanding the ways we care for you!
Hands of Hope is proud to introduce Occupational Therapy to our list of services. 
Now available in Astoria, with more locations to come!
Let us help you improve your overall quality of life. 
Call us at (718) 550-2618 to learn more and request an appointment! 
#OccupationalTherapy #OTServices #HandsOfHope</t>
  </si>
  <si>
    <t>2026-01-25</t>
  </si>
  <si>
    <t>Winter is making a big statement! ❄️</t>
  </si>
  <si>
    <t>https://www.instagram.com/p/DT8eOW0CddK/</t>
  </si>
  <si>
    <t>Winter is making a big statement! ❄️
To keep our patients and staff safe, our clinics will be closed tomorrow, Monday , January 26
We will reopen and resume normal hours on Tuesday, January 27.
Stay safe and warm!</t>
  </si>
  <si>
    <t>2026-01-24</t>
  </si>
  <si>
    <t>You show up for your health every day, and we don’t take that lightly.</t>
  </si>
  <si>
    <t>https://www.instagram.com/p/DT6M8oID9rh/</t>
  </si>
  <si>
    <t>You show up for your health every day, and we don’t take that lightly. 
Our Loyalty Program is our way of saying thank you for trusting Hands of Hope with your care.
Earn points for visits, referrals, reviews, and more, and use them toward the care and wellness tools you already love! 
And Book now at handsofhopeny.com
#HandsOfHopeFamily #WellnessWithHeart</t>
  </si>
  <si>
    <t>2026-01-22</t>
  </si>
  <si>
    <t>Real stories like Peter’s remind us why we do what we do.</t>
  </si>
  <si>
    <t>https://www.instagram.com/p/DT1DWqeCF6F/</t>
  </si>
  <si>
    <t>Real stories like Peter’s remind us why we do what we do.
From injury to hope, and from hope to progress, healing truly is the greatest gift this season.
Start your healing journey with us at Handsofhopeny.com !
#PatientSuccessStory #HandsOfHopeClinics #WhitestoneNY #HolidayHealing #RealResults</t>
  </si>
  <si>
    <t>2026-01-21</t>
  </si>
  <si>
    <t>Pain didn’t bench you, ignoring it will!</t>
  </si>
  <si>
    <t>https://www.instagram.com/p/DTyejQtDxnl/</t>
  </si>
  <si>
    <t>Pain didn’t bench you, ignoring it will!
At Hands of Hope, we don’t just treat injuries, we break the cycle that caused them.
We focus on:
 • Full-body movement assessments
 • Personalized exercise plans
 • Sport-specific training
 • Movement correction
 And more...
Book your session now at handsofhopeny.com
#HandsOfHopeClinics #SportsInjuries  #RealResults</t>
  </si>
  <si>
    <t>2026-01-16</t>
  </si>
  <si>
    <t>Glow from the inside out with our most loved programs!</t>
  </si>
  <si>
    <t>https://www.instagram.com/p/DTlmlg2DaIk/</t>
  </si>
  <si>
    <t>Glow from the inside out with our most loved programs! 
IV therapy helps refill what your body needs, giving you more energy and a healthy glow, while our medical weight loss program supports appetite control and steady fat loss.
Together, they create a transformation that’s more than skin deep; it’s energy, vitality, and self-love all in one. 
Ready to reveal your best self this January? 
Contact us today at handsofhopeny.com</t>
  </si>
  <si>
    <t>jagphysicaltherapy</t>
  </si>
  <si>
    <t>Oof they might need some PT after this 😉</t>
  </si>
  <si>
    <t>https://www.instagram.com/p/DeSaAa7D8LL/</t>
  </si>
  <si>
    <t>Oof they might need some PT after this 😉
#JAGPhysicalTherapy #PhysicalTherapist #PhysicalTherapy #Healthcare #Humor</t>
  </si>
  <si>
    <t>2026-10-08</t>
  </si>
  <si>
    <t>Want to help prevent calf strains?</t>
  </si>
  <si>
    <t>https://www.instagram.com/p/DePQn4GEmdk/</t>
  </si>
  <si>
    <t>Want to help prevent calf strains?
Jesse Simon, PT, MCMT, demonstrates 3 exercises to help build calf strength and flexibility:
✔️Heel Raises
✔️Eccentric Heel Raises
✔️ Calf Stretch
Add these to your routine to help prepare your calves for movement and activity.
#JAGPhysicalTherapy #PhysicalTherapy #Marathon #Running #Exercises</t>
  </si>
  <si>
    <t>2026-10-06</t>
  </si>
  <si>
    <t>Dealing with back pain or tightness?</t>
  </si>
  <si>
    <t>https://www.instagram.com/p/DeKEpnXDWrq/</t>
  </si>
  <si>
    <t>Dealing with back pain or tightness? 
October is National Physical Therapy Month, making it the perfect time to highlight simple ways physical therapy can help you move and feel your best.
Sean Thomas, PT, DPT, demonstrates a simple myofascial release technique using a lacrosse ball to help relieve tension in your back. Lean into the ball and gently move side to side to target tight areas.
Save this for your next workout or whenever your back needs some extra attention!
#JAGPhysicalTherapy #PhysicalTherapy #PhysicalTherapist #Exercise #BackPain</t>
  </si>
  <si>
    <t>2026-10-02</t>
  </si>
  <si>
    <t>Massage requested ❌</t>
  </si>
  <si>
    <t>https://www.instagram.com/p/DeAs4BdjLIX/</t>
  </si>
  <si>
    <t>Massage requested ❌
Exercises delivered ✔️ 😌
#JAGPhysicalTherapy #PhysicalTherapy #Humor  #Healthcare</t>
  </si>
  <si>
    <t>Having trouble with sciatica?</t>
  </si>
  <si>
    <t>https://www.instagram.com/p/Dd9dAr1m_Te/</t>
  </si>
  <si>
    <t>Having trouble with sciatica? 
JAG PT's Marissa Bingler, PT, DPT, demonstrates a simple exercise that can help relieve lower back tension.
Lie on your back with your knees bent, gently flatten your lower back into the floor, then release.
Save this for your next time sciatica is acting up!
#JAGPhysicalTherapy #Sciatica #PhysicalTherapy #PhysicalTherapist #Healthcare</t>
  </si>
  <si>
    <t>Managing knee arthritis?</t>
  </si>
  <si>
    <t>https://www.instagram.com/p/Dd4CTrOgW12/</t>
  </si>
  <si>
    <t>Managing knee arthritis?
Jesse Simon, PT, MCMT, demonstrates 3 exercises to help strengthen the muscles around your knee:
•Straight Leg Raises
•Sideline Abductions
•Bridges
#JAGPhysicalTherapy #PhysicalTherapist #PhysicalTherapy #KneeArthritis #Exercise</t>
  </si>
  <si>
    <t>Ever wonder what PT aides do on their lunch break? 📸</t>
  </si>
  <si>
    <t>https://www.instagram.com/p/Ddtu_VfjXQ0/</t>
  </si>
  <si>
    <t>Ever wonder what PT aides do on their lunch break? 📸
#JAGPhysicalTherapy #PhysicalTherapy #Trending #Funny #Healthcare</t>
  </si>
  <si>
    <t>Waking up with a stiff back?</t>
  </si>
  <si>
    <t>https://www.instagram.com/p/DdrA3VYjP-x/</t>
  </si>
  <si>
    <t>Waking up with a stiff back?
Sean Thomas, PT, DPT, shows you a simple Cat-Cow exercise to help loosen up your back and get moving in the morning.
Give it a try and start your day with better movement!
#JAGPhysicalTherapy #PhysicalTherapy #PhysicalTherapist #Healthcare #WorkOut</t>
  </si>
  <si>
    <t>Tight hamstrings? Try this.</t>
  </si>
  <si>
    <t>https://www.instagram.com/p/DdmAx6sAJ-6/</t>
  </si>
  <si>
    <t>Tight hamstrings? Try this.
In this video, JAG Physical Therapy's Mike Hogan, PT, DPT, demonstrates a simple Hamstring Primer to help improve mobility and reduce tightness before activity.
Give it a try, save it for later, and follow JAG Physical Therapy for more expert movement and recovery tips.
#JAGPhysicalTherapy #Hamstrings #Mobility #Flexibility #PhysicalTherapy #Movement #RecoveryTips</t>
  </si>
  <si>
    <t>The struggle is real 🥴</t>
  </si>
  <si>
    <t>https://www.instagram.com/p/DdbgJ3xiJr6/</t>
  </si>
  <si>
    <t>The struggle is real 🥴
#JAGPhysicalTherapy #PhysicalTherapy #PhysicalTherapist #Trending #Funny</t>
  </si>
  <si>
    <t>Back hurting after sitting all day? You’re not alone.</t>
  </si>
  <si>
    <t>https://www.instagram.com/p/DdY60KMiiDg/</t>
  </si>
  <si>
    <t>Back hurting after sitting all day? You’re not alone.
Jackie Ruggiero, PT, DPT, demonstrates a simple exercise that may help loosen up your back and get you moving after a long day of sitting.
Save this for your next workday and give it a try!
#PhysicalTherapy #PhysicalTherapist #Healthcare #Exercise #BackPain</t>
  </si>
  <si>
    <t>Think you have carpal tunnel? Try these 3 tests.</t>
  </si>
  <si>
    <t>https://www.instagram.com/p/DdUMomtFcEU/</t>
  </si>
  <si>
    <t>Think you have carpal tunnel? Try these 3 tests.
In this video, Shari Bensadoun, MS, OTR/L, CHT, demonstrates:
1. Phalen’s Test
2. Tinel’s Test
3. Durkan’s Test
If these tests reproduce tingling or numbness in your thumb, index, or middle fingers, it may be a sign of carpal tunnel syndrome.
Visit your local JAG Physical Therapy clinic to learn more about your treatment options.
#JAGPhysicalTherapy #CarpalTunnel #HandTherapy #WristPain #Numbness #OccupationalTherapy #HandHealth</t>
  </si>
  <si>
    <t>“Watch, I got this!” -Darryl</t>
  </si>
  <si>
    <t>https://www.instagram.com/p/DdJk4lWD7JQ/</t>
  </si>
  <si>
    <t>“Watch, I got this!” -Darryl
He did not, in fact, have this. 💀
#JAGPhysicalTherapy #PhysicalTherapy #Workout #Fitness #Trend</t>
  </si>
  <si>
    <t>isaiahlikely_4</t>
  </si>
  <si>
    <t>A football dad’s dream PT session. Isaiah Likely’s longest meet-and-greet...At JAG Physical Therapy, recovery comes with all kinds of person</t>
  </si>
  <si>
    <t>https://www.instagram.com/p/DdHHPnmj6nA/</t>
  </si>
  <si>
    <t>A football dad’s dream PT session. Isaiah Likely’s longest meet-and-greet...At JAG Physical Therapy, recovery comes with all kinds of personalities and sometimes, very enthusiastic fans.
Recovery is for everyone.
#IsaiahLikely #JAGPhysicalTherapy #PhysicalTherapy #Giants #NFL</t>
  </si>
  <si>
    <t>https://www.instagram.com/p/DdB9bmdkjLV/</t>
  </si>
  <si>
    <t>Experiencing numbness or tingling in your ring and pinky fingers?
In this video, Shari Bensadoun, MS, OTR/L, CHT, demonstrates a simple exercise to help improve nerve mobility and reduce symptoms.
Save this exercise for later, and follow JAG Physical Therapy for more hand therapy tips.
#JAGPhysicalTherapy #HandTherapy #Numbness #NerveMobility #OccupationalTherapy #HandHealth</t>
  </si>
  <si>
    <t>From the pros to the legendary benchwarmers; once an athlete, always an athlete.</t>
  </si>
  <si>
    <t>https://www.instagram.com/p/Dc_Zn-WkVVo/</t>
  </si>
  <si>
    <t>From the pros to the legendary benchwarmers; once an athlete, always an athlete. 
Recovery is for everyone.
#JAGPhysicalTherapy #IsaiahLikely #Giants #PhysicalTherapy #PhysicalTherapy</t>
  </si>
  <si>
    <t>Your PT’s eye for posture is too good 😉</t>
  </si>
  <si>
    <t>https://www.instagram.com/p/Dc3qJRUCZMO/</t>
  </si>
  <si>
    <t>Your PT’s eye for posture is too good 😉
#JAGPhysicalTherapy #PhysicalTherapy #Funny #Fitness #Healthcare</t>
  </si>
  <si>
    <t>Struggling to fully straighten your knee?</t>
  </si>
  <si>
    <t>https://www.instagram.com/p/Dc1GBS4GYq-/</t>
  </si>
  <si>
    <t>Struggling to fully straighten your knee?
In this video, JAG Physical Therapy's David Perez-Herranz, PT, DPT demonstrates a low-load prolonged stretch to help improve knee extension and restore mobility.
Always perform this exercise as directed by your physical therapist or surgeon to support a safe recovery.
Save this post for later, and follow JAG Physical Therapy for more expert rehabilitation tips.
#JAGPhysicalTherapy #KneeExtension #PhysicalTherapy #KneeRecovery #Mobility #Rehabilitation</t>
  </si>
  <si>
    <t>Push-ups hurting your wrists? Try these modifications.</t>
  </si>
  <si>
    <t>https://www.instagram.com/p/Dcv8V9EIApl/</t>
  </si>
  <si>
    <t>Push-ups hurting your wrists? Try these modifications.
In this video, Shari Bensadoun, MS, OTR/L, CHT, demonstrates a few ways to reduce pressure on your wrists during push-ups:
✔️ Use dumbbells to keep your wrists in a neutral position
✔️ Place rolled-up towels under your palms
✔️ Elevate your palms to reduce wrist pressure
Small adjustments can make push-ups more comfortable while you build strength.
#JAGPhysicalTherapy #OccupationalTherapy #PhysicalTherapy #HandTherapy #Pushups</t>
  </si>
  <si>
    <t>2026-08-31</t>
  </si>
  <si>
    <t>We’re proud to once again be named to the Inc. 5000, ranking No. 3,510 among the fastest-growing private companies in the country!</t>
  </si>
  <si>
    <t>https://www.instagram.com/p/Dct5Tf1oxWp/</t>
  </si>
  <si>
    <t>We’re proud to once again be named to the Inc. 5000, ranking No. 3,510 among the fastest-growing private companies in the country!
This recognition reflects the continued growth of JAG Physical Therapy and, most importantly, the incredible team and community behind it.
Thank you to everyone who continues to be part of our journey!
Read more about this exciting achievement and what it means for JAG PT by clicking the link in our bio!
#JAGPhysicalTherapy #PhysicalTherapy #inc5000</t>
  </si>
  <si>
    <t>Recovery is for everyone. Even the most competitive of us. 😂</t>
  </si>
  <si>
    <t>https://www.instagram.com/p/DctMtzFHweQ/</t>
  </si>
  <si>
    <t>Recovery is for everyone. Even the most competitive of us. 😂
#JAGPhysicalTherapy #IsaiahLikely #Giants #NFL #PhysicalTherapy</t>
  </si>
  <si>
    <t>Caught this beauty today 🐟</t>
  </si>
  <si>
    <t>https://www.instagram.com/p/DclpMsPjuB4/</t>
  </si>
  <si>
    <t>Caught this beauty today 🐟
#JAGPhysicalTherapy #PhysicalTherapist #Fishing #Fish</t>
  </si>
  <si>
    <t>Having trouble fully straightening your knee after ACL surgery?</t>
  </si>
  <si>
    <t>https://www.instagram.com/p/DcjE674F-WJ/</t>
  </si>
  <si>
    <t>Having trouble fully straightening your knee after ACL surgery?
In this video, JAG Physical Therapy's Jackie Ruggiero, PT, DPT, demonstrates three exercises that can help improve knee extension:
✔️ Low-Load Long-Duration Knee Extension
✔️ Terminal Knee Extensions
✔️ Quad Sets
Restoring full knee extension is an important part of the recovery process. Always perform these exercises as directed by your surgeon or physical therapist.
Save this post for later, and follow JAG Physical Therapy for more expert ACL recovery and rehabilitation tips.
#JAGPhysicalTherapy #ACLRecovery #ACLSurgery #KneeExtension #PhysicalTherapy #SportsMedicine #Rehabilitation #RecoveryTips</t>
  </si>
  <si>
    <t>Do your fingers click or lock when you move them?</t>
  </si>
  <si>
    <t>https://www.instagram.com/p/Dcd6PFXgsp_/</t>
  </si>
  <si>
    <t>Do your fingers click or lock when you move them? 
In this video, Shari Bensadoun, MS, OTR/L, CHT, demonstrates three techniques that may help reduce finger clicking and improve mobility:
✔️ Tendon Glides
✔️ Joint Blocks
✔️ Finger Massage
Try these movements to help keep your fingers moving smoothly. Always consult with your healthcare provider if you’re experiencing persistent pain, locking, or clicking.
#JAGPhysicalTherapy #HandTherapy #FingerPain #FingerMobility #TendonGlides #OccupationalTherapy #HandHealth</t>
  </si>
  <si>
    <t>Recovery is for NFL tight end Isaiah Likely... and those who have never heard of him. At JAG Physical Therapy, we believe recovery is for ev</t>
  </si>
  <si>
    <t>https://www.instagram.com/p/DcbLFntGQp0/</t>
  </si>
  <si>
    <t>Recovery is for NFL tight end Isaiah Likely... and those who have never heard of him. At JAG Physical Therapy, we believe recovery is for everyone, no matter your age, goals, or activity level.
#JAGPhysicalTherapy #Isaiahlikely #NFL #Giants #PhysicalTherapy</t>
  </si>
  <si>
    <t>Just a PT aide trying my best 😅</t>
  </si>
  <si>
    <t>https://www.instagram.com/p/DcTnOsyE8vz/</t>
  </si>
  <si>
    <t>Just a PT aide trying my best 😅
#JAGPhysicalTherapy #PhysicalTherapist #PhysicalTherapy #Healthcare #Humor</t>
  </si>
  <si>
    <t>Once your surgeon gives you the green light, it's time to begin rebuilding strength after rotator cuff surgery.</t>
  </si>
  <si>
    <t>https://www.instagram.com/p/DcRC9UFE2Bb/</t>
  </si>
  <si>
    <t>Once your surgeon gives you the green light, it's time to begin rebuilding strength after rotator cuff surgery.
In this video, JAG Physical Therapy's Mike Hogan, PT, DPT demonstrates two foundational exercises to help safely restore shoulder strength:
✔️ Isometric-Based Strengthening
✔️ Isotonic-Based Exercises
Progressing at the right time is key to a successful recovery. Always follow your surgeon's and physical therapist's guidance before starting new exercises.
Save this post for later, and follow JAG Physical Therapy for more expert recovery and rehabilitation tips.
#JAGPhysicalTherapy #RotatorCuffSurgery #ShoulderRecovery #PhysicalTherapy #Rehabilitation #ShoulderStrength #RecoveryTips</t>
  </si>
  <si>
    <t>One month after a total knee replacement, it's time to start building strength and confidence in your movement.</t>
  </si>
  <si>
    <t>https://www.instagram.com/p/DcL5VM7DUhi/</t>
  </si>
  <si>
    <t>One month after a total knee replacement, it's time to start building strength and confidence in your movement.
In this video, JAG Physical Therapy's David Perez-Herranz, PT, demonstrates three exercises commonly performed during this stage of recovery:
✔️ Sit-to-Stands
✔️ Step-Ups
✔️ Terminal Knee Extensions
Save this post for later, and follow JAG Physical Therapy for more expert rehabilitation tips.
#JAGPhysicalTherapy #TotalKneeReplacement #KneeReplacement #PhysicalTherapy #Recovery #Rehabilitation #StrengthTraining #RecoveryTips</t>
  </si>
  <si>
    <t>A recovery session at JAG Physical Therapy gets a little more exciting when Isaiah Likely walks in...</t>
  </si>
  <si>
    <t>https://www.instagram.com/p/DcJazIRD9CY/</t>
  </si>
  <si>
    <t>A recovery session at JAG Physical Therapy gets a little more exciting when Isaiah Likely walks in...
Because recovery isn’t just for the pros. It’s for the weekend warriors, the football dads…and anyone who needs a minute after meeting their favorite player.
Recovery Is For Everyone.
#JAGPhysicalTherapy #Isaiahlikely #Giants #NFL #PhysicalTherapy</t>
  </si>
  <si>
    <t>Just an average day in the clinic ... 🕷️</t>
  </si>
  <si>
    <t>https://www.instagram.com/p/DcBekVDgFla/</t>
  </si>
  <si>
    <t>Just an average day in the clinic ... 🕷️
#JAGPhysicalTherapy #PhysicalTherapy #SpidermanBrandNewDay #Spiderman #Funny</t>
  </si>
  <si>
    <t>2026-08-13</t>
  </si>
  <si>
    <t>Swelling after ACL surgery is common, but the right exercises can help support your recovery.</t>
  </si>
  <si>
    <t>https://www.instagram.com/p/Db_EcswkmfC/</t>
  </si>
  <si>
    <t>Swelling after ACL surgery is common, but the right exercises can help support your recovery.
In this video, JAG Physical Therapy's Jackie Ruggiero, PT, DPT, demonstrates three exercises that may help reduce swelling after ACL surgery:
✔️ Ankle Pumps
✔️ Quad Sets
✔️ Heel Slides
Always perform exercises as directed by your surgeon or physical therapist to ensure a safe recovery.
Save this post for later, and follow JAG Physical Therapy for more expert rehabilitation tips.
#JAGPhysicalTherapy #ACLSurgery #ACLRecovery #PhysicalTherapy #SportsMedicine #Rehabilitation #RecoveryTips #KneeRehab</t>
  </si>
  <si>
    <t>Sleeping comfortably after rotator cuff surgery can be challenging, but the right positioning can make a big difference.</t>
  </si>
  <si>
    <t>https://www.instagram.com/p/Db53E7yCM4X/</t>
  </si>
  <si>
    <t>Sleeping comfortably after rotator cuff surgery can be challenging, but the right positioning can make a big difference.
In this video, JAG Physical Therapy's Mike Hogan, PT, demonstrates three simple tips to help you sleep more comfortably during recovery:
✔️ Elevate your head while sleeping.
✔️ Place a pillow under your arm for added support.
✔️ Follow a healthy sleep hygiene routine to promote quality rest.
Save this post for later, and follow JAG Physical Therapy for more expert recovery tips.
#JAGPhysicalTherapy #RotatorCuffSurgery #ShoulderRecovery #PhysicalTherapy #RecoveryTips #SleepRecovery #Rehabilitation</t>
  </si>
  <si>
    <t>Who do you think won this challenge? Comment below!</t>
  </si>
  <si>
    <t>https://www.instagram.com/p/DbvnWhgDe_j/</t>
  </si>
  <si>
    <t>Who do you think won this challenge? Comment below!
#JAGPhysicalTherapy #PhysicalTherapy #PhysicalTherapist #Yoga #Funny #Humor</t>
  </si>
  <si>
    <t>Recovering from a total knee replacement starts with the right exercises.</t>
  </si>
  <si>
    <t>https://www.instagram.com/p/Dbs_7ZBDeSv/</t>
  </si>
  <si>
    <t>Recovering from a total knee replacement starts with the right exercises.
In this video, JAG Physical Therapy's David Perez-Herranz, PT, DPT demonstrates three key exercises to help improve mobility, reduce stiffness, and support your recovery:
✔️ Seated Knee Flexion
✔️ Quad Sets
✔️ Ankle Pumps
Always perform these exercises as directed by your surgeon or physical therapist to ensure a safe and effective recovery.
Save this post for later, and follow JAG Physical Therapy for more expert rehabilitation tips.
#JAGPhysicalTherapy #TotalKneeReplacement #KneeReplacement #PhysicalTherapy #Rehabilitation #Recovery #Mobility #RecoveryTips</t>
  </si>
  <si>
    <t>2026-08-05</t>
  </si>
  <si>
    <t>Because your recovery deserves your full attention</t>
  </si>
  <si>
    <t>https://www.instagram.com/p/DbqbY_4DHQ5/</t>
  </si>
  <si>
    <t>Because your recovery deserves your full attention 
#JAGPhysicalTherapy #IPhysicalTherapy #PhysicalTherapist #Recovery #Healthcare</t>
  </si>
  <si>
    <t>Preparing for ACL surgery? Don’t wait until after surgery to start rebuilding strength.</t>
  </si>
  <si>
    <t>https://www.instagram.com/p/Dbn2hucDEu6/</t>
  </si>
  <si>
    <t>Preparing for ACL surgery? Don’t wait until after surgery to start rebuilding strength.
Jackie Ruggiero, PT, DPT, explains 3 of the best exercises to do before ACL surgery to help improve your recovery:
1. Terminal Knee Extensions
2. Low-Load Long-Duration Extensions
3. Quad Sets
Remember, your recovery starts before surgery day, give your knee the foundation it needs to come back stronger.
#JAGPhysicalTherapy #PhysicalTherapist #Knees #Surgery #ACL #ACLSurgery</t>
  </si>
  <si>
    <t>JAG Physical Therapy’s women’s health physical therapist, Rosalind Cox-Larrieux, was recently featured in an article discussing how exercise</t>
  </si>
  <si>
    <t>https://www.instagram.com/p/DblRgU7DKoR/</t>
  </si>
  <si>
    <t>JAG Physical Therapy’s women’s health physical therapist, Rosalind Cox-Larrieux, was recently featured in an article discussing how exercise can support recovery from postpartum depression.
In the article, Cox-Larrieux highlights how simple activities like walking, yoga, and strength training can improve both physical recovery and mental well-being after childbirth, emphasizing that even small amounts of movement can make a difference.
Click the link in our bio to read the full article and learn how movement can support postpartum recovery.
#JAGPhysicalTherapy #PostpartumRecovery #PostpartumDepression #WomensHealth #PhysicalTherapy #MovementIsMedicine</t>
  </si>
  <si>
    <t>2026-07-31</t>
  </si>
  <si>
    <t>This hits a little too close to home...🥴</t>
  </si>
  <si>
    <t>https://www.instagram.com/p/Dbdsmk_gOCm/</t>
  </si>
  <si>
    <t>This hits a little too close to home...🥴
#JAGPhysicalTherapy #PhysicalTherapy #PhysicalTherapist #MinionsandMonsters #Minions</t>
  </si>
  <si>
    <t>2026-07-30</t>
  </si>
  <si>
    <t>Recovering from rotator cuff surgery? Keep this tip in mind.</t>
  </si>
  <si>
    <t>https://www.instagram.com/p/Dba2qCLiJcf/</t>
  </si>
  <si>
    <t>Recovering from rotator cuff surgery? Keep this tip in mind.
While your surgeon may want to limit shoulder movement during the early stages of recovery, you'll still need to do things like maintain underarm hygiene and get dressed. One helpful technique is to bend forward at the waist, allowing your arm to hang naturally. This position can make these activities easier while helping you avoid unnecessary strain on your healing shoulder.
Always follow your surgeon's and physical therapist's specific instructions throughout your recovery.
Save this tip for later, and follow JAG Physical Therapy for more expert recovery advice.
#JAGPhysicalTherapy #RotatorCuffSurgery #ShoulderRecovery #PhysicalTherapy #Rehab #RecoveryTips #ShoulderHealth</t>
  </si>
  <si>
    <t>2026-07-28</t>
  </si>
  <si>
    <t>The work you put in before surgery can make a big difference in your recovery.</t>
  </si>
  <si>
    <t>https://www.instagram.com/p/DbVi47CFRbm/</t>
  </si>
  <si>
    <t>The work you put in before surgery can make a big difference in your recovery.
Building strength before a total knee replacement can improve mobility, support your rehabilitation, and help you return to the activities you love.
In this video, JAG Physical Therapy's David Perez-Herranz PT, DPT demonstrates three key exercises to prepare for surgery:
✔️ Straight Leg Raises
✔️ Terminal Knee Extensions
✔️ Wall Squats
Save this post for your pre-surgery routine, and follow JAG Physical Therapy for more expert recovery and rehabilitation tips.
#JAGPhysicalTherapy #TotalKneeReplacement #KneeReplacement #Prehab #PhysicalTherapy</t>
  </si>
  <si>
    <t>JAG Physical Therapy CEO Dr. John A. Gallucci Jr. was recently featured in Forbes with his article, How To Scale Company Culture As Your Bus</t>
  </si>
  <si>
    <t>https://www.instagram.com/p/DbTmrjHibbm/</t>
  </si>
  <si>
    <t>JAG Physical Therapy CEO Dr. John A. Gallucci Jr. was recently featured in Forbes with his article, How To Scale Company Culture As Your Business Grows, sharing insights on how organizations can preserve their values while expanding.
In the article, Dr. Gallucci explains why company culture becomes more difficult to maintain as businesses grow and outlines practical strategies for building a workplace that supports employee development, strengthens the customer experience, and keeps leaders connected to their teams.
Click the link in our bio to read the full article and learn how to build a strong company culture that grows with your business.
#JAGPhysicalTherapy #Healthcare #Forbes #CompanyCulture #Business</t>
  </si>
  <si>
    <t>Level Up Your Recovery 🎮 💪</t>
  </si>
  <si>
    <t>https://www.instagram.com/p/DbLZ7objjlt/</t>
  </si>
  <si>
    <t>Level Up Your Recovery 🎮 💪
#JAGPhysicalTherapy #PhysicalTherapy #VideoGames #Humor #Healthcare</t>
  </si>
  <si>
    <t>2026-07-23</t>
  </si>
  <si>
    <t>Passion drives growth.</t>
  </si>
  <si>
    <t>https://www.instagram.com/p/DbI_YcRkZZZ/</t>
  </si>
  <si>
    <t>Passion drives growth.
Marissa and Dan shares how JAG Physical Therapy empowers clinicians to pursue their interests, develop new skills, and build the career they envision.
#JAGPhysicalTherapy #ProfessionalGrowth #PhysicalTherapy #PhysicalTherapist #Careers</t>
  </si>
  <si>
    <t>2026-07-21</t>
  </si>
  <si>
    <t>Flat feet? Try these 3 exercises!</t>
  </si>
  <si>
    <t>https://www.instagram.com/p/DbDvAkLETWc/</t>
  </si>
  <si>
    <t>Flat feet? Try these 3 exercises!
Our PT Imani Coleman demonstrates:
•Foot Doming
•Tennis Ball Calf Raises
•Towel Scrunches
Small exercises can make a big difference in foot strength, stability, and overall movement.
Save this for later!
#JAGPhysicalTherapy #PhysicalTherapy #PhysicalTherapist #FlatFeet #Exercises</t>
  </si>
  <si>
    <t>Sometimes, all it takes is someone believing in you before you believe in yourself.</t>
  </si>
  <si>
    <t>https://www.instagram.com/p/Da2ssYrFAbw/</t>
  </si>
  <si>
    <t>Sometimes, all it takes is someone believing in you before you believe in yourself.
For Richa Raval, the encouragement of her colleagues gave her the confidence to pursue a leadership role as a Clinical Director. Their support helped her overcome the self-doubt she had and inspired her to take the next step in her career.
Today, Richa is proud to lead, mentor others, and continue making a meaningful impact on both her team and her patients.
#JAGPhysicalTherapy #PhysicalTherapy #Mentorship #CareerGrowth</t>
  </si>
  <si>
    <t>Recovering from bariatric surgery?</t>
  </si>
  <si>
    <t>https://www.instagram.com/p/Dax0SLlj1QW/</t>
  </si>
  <si>
    <t>Recovering from bariatric surgery?
Building strength and confidence with movement is an important part of the recovery process.
JAG Physical Therapy clinician Michael Santamaria, PT, demonstrates three simple exercises that can help you safely stay active after surgery:
• Supported Squats
• Standing Knee Raises
• Resistance Band Presses
These exercises can help improve strength, mobility, and overall function as you progress through your recovery journey.
Follow for more movement and recovery tips from our clinicians.
#JAGPhysicalTherapy #BariatricSurgery #PhysicalTherapy #Recovery #Exercise #Mobility #StrengthTraining</t>
  </si>
  <si>
    <t>JAG PT Starter Pack 💪</t>
  </si>
  <si>
    <t>https://www.instagram.com/p/DanTXFenR87/</t>
  </si>
  <si>
    <t>JAG PT Starter Pack 💪
#JAGPhysicalTherapy #PhysicalTherapy #PhysicalTherapist #Healthcare #Trending</t>
  </si>
  <si>
    <t>Mike Hogan’s journey into physical therapy started on the field.</t>
  </si>
  <si>
    <t>https://www.instagram.com/p/Dak8S0ElzTD/</t>
  </si>
  <si>
    <t>Mike Hogan’s journey into physical therapy started on the field.
After suffering a high school football injury, Mike experienced rehab firsthand and it sparked a deeper interest in the recovery process. That experience led him to pursue a career in physical therapy, where he now helps others navigate their own return to sport and activity.
His story is a reminder that sometimes the toughest moments can shape your purpose.
#JAGPhysicalTherapy #Clinician #PhysicalTherapy #InjuryRecovery #SportsPT #JAGPT</t>
  </si>
  <si>
    <t>The Interns have officially entered the chat 😎</t>
  </si>
  <si>
    <t>https://www.instagram.com/p/Daih29MD8gI/</t>
  </si>
  <si>
    <t>The Interns have officially entered the chat 😎
Say hello to the newest members of the JAG family!
#JAGPhysicalTherapy #PhysicalTherapry #Interns #Students #Healthcare</t>
  </si>
  <si>
    <t>Does your knee hurt when going down the stairs?</t>
  </si>
  <si>
    <t>https://www.instagram.com/p/DafyszsDQoU/</t>
  </si>
  <si>
    <t>Does your knee hurt when going down the stairs?
You're not alone. Stair pain can be a sign of muscle weakness, joint stress, or movement mechanics that place extra pressure on the knee.
Our physical therapist, Imani Coleman, explains why knee pain often shows up when descending stairs and what may be contributing to your discomfort.
Follow to learn more.
#JAGPhysicalTherapy #PhysicalTherapy #KneePain #Exercise #MoveBetter #PainRelief</t>
  </si>
  <si>
    <t>Dealing with shoulder pain or stiffness?</t>
  </si>
  <si>
    <t>https://www.instagram.com/p/DaasgP9EX6F/</t>
  </si>
  <si>
    <t>Dealing with shoulder pain or stiffness?
JAG Physical Therapy clinician Michael Santamaria, PT, demonstrates three exercises that can help improve shoulder strength, stability, and mobility:
• Shoulder Shrugs
• Banded Overhead Shrugs
• Scapular Push-Ups
These movements target the muscles that support proper shoulder function and can help improve control and movement quality over time.
Follow for more exercise tips and clinician-led demonstrations.
#JAGPhysicalTherapy #PhysicalTherapy #ShoulderPain #ShoulderMobility #ShoulderHealth</t>
  </si>
  <si>
    <t>How would you want your PT react? Comment below!</t>
  </si>
  <si>
    <t>https://www.instagram.com/p/DaVRv1rFB5a/</t>
  </si>
  <si>
    <t>How would you want your PT react? Comment below!
#JAGPhysicalTherapy #PhysicalTherapy #Trending #Humor #HealthcareHumor</t>
  </si>
  <si>
    <t>2026-07-02</t>
  </si>
  <si>
    <t>For Matt Diller, one of the most rewarding parts of being a physical therapist is helping shape the next generation of clinicians.</t>
  </si>
  <si>
    <t>https://www.instagram.com/p/DaSwnhGFW-r/</t>
  </si>
  <si>
    <t>For Matt Diller, one of the most rewarding parts of being a physical therapist is helping shape the next generation of clinicians.
Matt is passionate about mentoring new graduates, sharing his knowledge, and helping young therapists grow both personally and professionally. He believes that investing in the next generation strengthens not only individual clinicians, but the profession as a whole.
#JAGPhysicalTherapy #ClinicianSpotlight #PhysicalTherapy #Mentorship #ProfessionalDevelopment #FutureOfPT #JAGPT</t>
  </si>
  <si>
    <t>A few go-to exercises we use with patients 💪</t>
  </si>
  <si>
    <t>https://www.instagram.com/p/DaDUPvUxwJ5/</t>
  </si>
  <si>
    <t>A few go-to exercises we use with patients 💪
#jagphysicaltherapy #physicaltherapy #healthcare #physicaltherapist #sportstherapy</t>
  </si>
  <si>
    <t>2026-06-25</t>
  </si>
  <si>
    <t>For Craig Menezes, successful rehabilitation starts with building relationships.</t>
  </si>
  <si>
    <t>https://www.instagram.com/p/DaAyUuClN8S/</t>
  </si>
  <si>
    <t>For Craig Menezes, successful rehabilitation starts with building relationships.
He believes in the motto, "Connect before you correct." By taking the time to understand each patient's goals, challenges, and motivations, Craig creates a foundation of trust that helps drive better outcomes and a more personalized recovery experience.
Because when patients feel heard and supported, they're empowered to achieve their goals and reach their fullest potential.
#JAGPhysicalTherapy #PhysicalTherapy #PatientCare #Clinician #Healthcare</t>
  </si>
  <si>
    <t>2026-06-23</t>
  </si>
  <si>
    <t>Do your hips crack or feel unstable during movement?</t>
  </si>
  <si>
    <t>https://www.instagram.com/p/DZ7lRfCHIzl/</t>
  </si>
  <si>
    <t>Do your hips crack or feel unstable during movement?
JAG Physical Therapy clinician Imani Coleman, PT, demonstrates three exercises that can help support hip strength and stability:
• Standing Hip Adductions
• Lateral Step Downs
• Monster Walks
These movements help strengthen the muscles around the hips and improve overall control during everyday activities and exercise.
Follow for more movement and recovery tips from our clinicians.
#JAGPhysicalTherapy #PhysicalTherapy #PhysicalTherapist #HipStrength #HipMobility #MovementMatters</t>
  </si>
  <si>
    <t>2026-06-19</t>
  </si>
  <si>
    <t>Some made it look easy… others gave it their all 😅</t>
  </si>
  <si>
    <t>https://www.instagram.com/p/DZxVm1gAm7E/</t>
  </si>
  <si>
    <t>Some made it look easy… others gave it their all 😅
Who won?
#JAGPhysicalTherapy #PhysicalTherapy #PhysicalTherapist #Workout</t>
  </si>
  <si>
    <t>Meet one Gaurav Dambal, whose passion for running marathons helps shape the way he approaches physical therapy.</t>
  </si>
  <si>
    <t>https://www.instagram.com/p/DZvB8WyAcSQ/</t>
  </si>
  <si>
    <t>Meet one Gaurav Dambal, whose passion for running marathons helps shape the way he approaches physical therapy.
Training for a marathon takes discipline, perseverance, and commitment, qualities he brings to every patient interaction. Having experienced the challenges of working toward a long-term goal himself, he understands what it takes to stay motivated through setbacks and celebrate progress along the way.
#JAGPhysicalTherapy #PhysicalTherapy #PhysicalTherapist #PatientCare #Running</t>
  </si>
  <si>
    <t>Dealing with a posterior disc herniation?</t>
  </si>
  <si>
    <t>https://www.instagram.com/p/DZpjsvWCGM3/</t>
  </si>
  <si>
    <t>Dealing with a posterior disc herniation?
JAG Physical Therapy clinician Michael Santamaria, PT, demonstrates an exercise that may help reduce symptoms, improve mobility, and support your recovery.
Watch as he breaks down the movement and explains how it can be used as part of a rehabilitation program for a posterior disc herniation.
Follow for more physical therapy tips and exercises from our clinicians.
#PhysicalTherapy #DiscHerniation #BackPain #SpineHealth #Recovery #Mobility #JAGPhysicalTherapy</t>
  </si>
  <si>
    <t>We all have that one patient who means well 😅</t>
  </si>
  <si>
    <t>https://www.instagram.com/p/DZfVoQcxgGi/</t>
  </si>
  <si>
    <t>We all have that one patient who means well 😅
#JAGPhysicalTherapy #Physicalt#Therapy #Healthcare #Humor</t>
  </si>
  <si>
    <t>For some clinicians, the most rewarding part of the profession goes beyond patient care.</t>
  </si>
  <si>
    <t>https://www.instagram.com/p/DZcvKSdiL_X/</t>
  </si>
  <si>
    <t>For some clinicians, the most rewarding part of the profession goes beyond patient care.
One of the things our PT, Anthony Costanzo, enjoys most is mentoring physical therapy students, sharing knowledge, providing guidance, and helping shape the next generation of physical therapists.
Watching students grow in confidence, develop their skills, and eventually succeed in their own careers is a rewarding experience and a reminder of the lasting impact mentorship can have.
It's not just about teaching it's about helping others reach their full potential.
#JAGPhysicalTherapy #PhysicalTherapy #PhysicalTherapist #Mentor #Students</t>
  </si>
  <si>
    <t>We were proud to support the annual Valerie Fund Walk &amp; 5K Run at Verona Park this weekend!</t>
  </si>
  <si>
    <t>https://www.instagram.com/p/DZabgFpHFKO/</t>
  </si>
  <si>
    <t>We were proud to support the annual Valerie Fund Walk &amp; 5K Run at Verona Park this weekend!
Along with our many partners, we raised over $1 million for The Valerie Fund to support children with cancer and blood disorders and their families!
This incredible milestone would not have been possible without the generosity of our participants, volunteers, donors, sponsors, and supporters.
Thank you to everyone who helped make this event such a tremendous success. Together, we're making a meaningful difference in the lives of so many families!
#JAGPhysicalTherapy #TheValerieFund #GivingBack #CommunityStrong #MakingADifference</t>
  </si>
  <si>
    <t>Hip mobility plays a major role in how people move, rotate, and generate power.</t>
  </si>
  <si>
    <t>https://www.instagram.com/p/DZXh5znlCbw/</t>
  </si>
  <si>
    <t>Hip mobility plays a major role in how people move, rotate, and generate power.
JAG clinician Imani Coleman, PT, DPT, demonstrates a hip rotation exercise designed to improve mobility, control, and movement efficiency:Tall Kneeling Step-Over
This movement helps improve hip rotation, coordination, and overall mobility to support stronger and more efficient movement patterns.
Follow for more mobility and performance tips from our clinicians.
#JAGPhysicalTherapy #PhysicalTherapy #MoveBetterLiveBetter #HipMobility #InjuryPrevention</t>
  </si>
  <si>
    <t>JAG Physical Therapy’s CEO, Dr. John A. Gallucci Jr., was recently featured in a Popular Science article discussing sciatica, one of the mos</t>
  </si>
  <si>
    <t>https://www.instagram.com/p/DZVHrMyEk2u/</t>
  </si>
  <si>
    <t>JAG Physical Therapy’s CEO, Dr. John A. Gallucci Jr., was recently featured in a Popular Science article discussing sciatica, one of the most common and misunderstood causes of lower back and leg pain.
In the article, Dr. Gallucci explains the difference between true sciatica and general back pain, along with the importance of early detection and proper diagnosis. He also breaks down common symptoms, contributing factors, and why delayed treatment can often lead to worsening discomfort.
Click the link in our bio to read the full article and learn more about managing sciatica through education, movement, and early intervention.
#JAGPhysicalTherapy #Sciatica #BackPain #PhysicalTherapy #Mobility #PainRelief #MovementIsMedicine #SpineHealth</t>
  </si>
  <si>
    <t>2026-06-05</t>
  </si>
  <si>
    <t>Level One: Patient has entered. Greet them</t>
  </si>
  <si>
    <t>https://www.instagram.com/p/DZNYZYLPo-U/</t>
  </si>
  <si>
    <t>Level One: Patient has entered. Greet them 
Which character are you picking?
#JAGPhysicalTherapy #PhysicalTherapy #Humor #VideoGame #Healthcare</t>
  </si>
  <si>
    <t>For Dan, giving back is deeply personal.</t>
  </si>
  <si>
    <t>https://www.instagram.com/p/DZK0hU4j_T9/</t>
  </si>
  <si>
    <t>For Dan, giving back is deeply personal.
In honor of his father, he helps lead two meaningful events each year, the Danny “Buck” Kane Charity Golf Outing and the Irish Whisper Walk of Hope. Both support the Lymphoma Research Foundation and keep his father’s memory alive in a powerful way.
What makes it even more special is the unwavering support from his coworkers, who show up year after year to stand beside him.
#JAGPhysicalTherapy #PhysicalTherapy  #CompanyCulture #CoWorkers #Charity</t>
  </si>
  <si>
    <t>2026-06-02</t>
  </si>
  <si>
    <t>Shoulder pain at night isn’t random, there’s usually a reason it flares up when you lie down.</t>
  </si>
  <si>
    <t>https://www.instagram.com/p/DZFq3zDDNau/</t>
  </si>
  <si>
    <t>Shoulder pain at night isn’t random, there’s usually a reason it flares up when you lie down.
When you sleep, the shoulder loses some muscular support and experiences more direct pressure. If the area is already irritated or sensitive, certain sleeping positions can increase discomfort even more.
One simple adjustment that may help: placing a pillow under your arm to better support the shoulder and reduce pressure while you sleep.
Small changes in positioning can make a big difference in recovery and comfort.
#JAGPhysicalTherapy #PhysicalTherapy #PhysicalTherapist #Sleep #ShoulderPain</t>
  </si>
  <si>
    <t>2026-05-29</t>
  </si>
  <si>
    <t>We love our ✨vintage ✨ PTs!</t>
  </si>
  <si>
    <t>https://www.instagram.com/p/DY7U_OfEarL/</t>
  </si>
  <si>
    <t>We love our ✨vintage ✨ PTs! 
#JAGPhysicalTherapy #PhysicalTherapy #GenX #GenZ #Millennials</t>
  </si>
  <si>
    <t>2026-05-28</t>
  </si>
  <si>
    <t>For Luis, physical therapy stands out in the medical field for one key reason: connection.</t>
  </si>
  <si>
    <t>https://www.instagram.com/p/DY42XaFDFZN/</t>
  </si>
  <si>
    <t>For Luis, physical therapy stands out in the medical field for one key reason: connection.
He values the opportunity to build real relationships with his patients, getting to know their stories and being part of their recovery journey. For him, the most rewarding moment is watching patients walk out the door feeling better than when they walked in stronger, more confident, and closer to getting back to the life they love.
That’s what makes the work meaningful.
#JAGPhysicalTherapy #PhysicalTherapy #PTlife #Healthcare #Recovery</t>
  </si>
  <si>
    <t>Speed, control, and reaction time aren’t just athletic traits, they’re trainable skills.</t>
  </si>
  <si>
    <t>https://www.instagram.com/p/DYzag4hCfLd/</t>
  </si>
  <si>
    <t>Speed, control, and reaction time aren’t just athletic traits, they’re trainable skills.
JAG clinician, Imani Coleman demonstrates agility training drills designed to help athletes improve movement quality, coordination, and on-field performance: Single Leg Forward Hops • Single Leg Lateral Hops• Single Leg Forward Hops
These exercises help develop faster footwork, sharper direction changes, and better overall control during sport-specific movement.
Follow for more performance and recovery tips from our clinicians.
#JAGPhysicalTherapy #Track #Speed #AthleteTraining #SportsPerformance</t>
  </si>
  <si>
    <t>"And how often do you do that?" 🥴</t>
  </si>
  <si>
    <t>https://www.instagram.com/p/DYpOM5ggh3R/</t>
  </si>
  <si>
    <t>"And how often do you do that?" 🥴
#JAGPhysicalTherapy #MoveBetter #Funny  #HealthcareHumor #GangmanStyle</t>
  </si>
  <si>
    <t>For our clinician, Samantha Jensen, physical therapy goes far beyond the physical.</t>
  </si>
  <si>
    <t>https://www.instagram.com/p/DYm7o7hDsl0/</t>
  </si>
  <si>
    <t>For our clinician, Samantha Jensen, physical therapy goes far beyond the physical.
As a former high school athlete, she experienced firsthand how recovery isn’t just about the body it’s also about the mind. That perspective now shapes how she treats every patient she works with.
#JAGPhysicalTherapy #PhysicalTherapy #PhysicalTherapist #HealingJourney #MentalHealth</t>
  </si>
  <si>
    <t>Staying active is one of the most powerful tools for managing Parkinson’s Disease.</t>
  </si>
  <si>
    <t>https://www.instagram.com/p/DYhyG_2CeBu/</t>
  </si>
  <si>
    <t>Staying active is one of the most powerful tools for managing Parkinson’s Disease.
JAG Physical Therapist Marissa Bingler, PT, DPT, demonstrates four exercises designed to help improve mobility, coordination, and balance: ✔ Seated Marches ✔ Sit to Stands ✔ Tandem Walks ✔ Big Arm Reaches
Small movements practiced consistently can make a meaningful difference in daily function.
Follow for more clinician-led exercise tips.
#JAGPhysicalTherapy #Parkinsons #PhysicalTherapy #MobilityTraining #BalanceExercises</t>
  </si>
  <si>
    <t>2026-05-18</t>
  </si>
  <si>
    <t>Dr. John A. Gallucci Jr. and JAG Physical Therapy were recently featured in Parent Smarter, Not Harder discussing a growing concern in youth</t>
  </si>
  <si>
    <t>https://www.instagram.com/p/DYfNUK6nAvN/</t>
  </si>
  <si>
    <t>Dr. John A. Gallucci Jr. and JAG Physical Therapy were recently featured in Parent Smarter, Not Harder discussing a growing concern in youth sports: why more training isn’t always making kids better athletes and may actually be increasing injury risk.
In the article, Dr. Gallucci explains how early sport specialization, repetitive movement patterns, and lack of rest are leading to a rise in overuse and soft tissue injuries in young athletes. He emphasizes that many kids are being pushed through training schedules that don’t allow enough recovery, increasing fatigue and the likelihood of injury.
Click the link in our bio to read the full article and learn how to help young athletes train smarter and stay healthy. 
#JAGPT #PhysicalTherapy #Athlete #Training #StudentAthletes</t>
  </si>
  <si>
    <t>Patient: How many exercises today?</t>
  </si>
  <si>
    <t>https://www.instagram.com/p/DYXRNh7gsM7/</t>
  </si>
  <si>
    <t>Patient: How many exercises today?
PT: Yes.
#JAGPhysicalTherapy #PTlife #HealthcareHumor #Funny #PhysicalTherapy</t>
  </si>
  <si>
    <t>For Alex Yousko, physical therapy is more than a career, it’s a chance to change lives.</t>
  </si>
  <si>
    <t>https://www.instagram.com/p/DYU6ImhgTHh/</t>
  </si>
  <si>
    <t>For Alex Yousko, physical therapy is more than a career, it’s a chance to change lives.
Every recovery story is different, but the goal is always the same; we help you Get Back The Life You Love!
#JAGPhysicalTherapy #PhysicalTherapy #PatientCare #HealingJourney #Rehabilitation</t>
  </si>
  <si>
    <t>Knee pain isn’t always just about the knee.</t>
  </si>
  <si>
    <t>https://www.instagram.com/p/DYPfSG5EtlC/</t>
  </si>
  <si>
    <t>Knee pain isn’t always just about the knee.
Often, it’s influenced by how the entire movement chain (from the ankle to the hip) works together.
JAG Physical Therapy's Mike Hogan, PT, DPT, demonstrates three exercises designed to build strength and control that support healthier knee movement: Captain Morgans • Ankle Dorsiflexion Modes • Controlled Step Downs
Training the muscles around the knee AND the joints that support it can help create strength that lasts.
 Follow for more injury prevention and movement tips from our clinicians.
 #JAGPhysicalTherapy #KneePainRelief #PhysicalTherapy #MoveBetter #InjuryPrevention #KneeHealth</t>
  </si>
  <si>
    <t>2026-05-11</t>
  </si>
  <si>
    <t>JAG Physical Therapy’s CEO, Dr. John A. Gallucci Jr., was recently featured in Forbes discussing a growing trend in leadership and wellness:</t>
  </si>
  <si>
    <t>https://www.instagram.com/p/DYNSjTujpuF/</t>
  </si>
  <si>
    <t>JAG Physical Therapy’s CEO, Dr. John A. Gallucci Jr., was recently featured in Forbes discussing a growing trend in leadership and wellness: the overcomplication of health through biohacking.
In the article, Dr. Gallucci explains how many business leaders are investing in expensive wellness trends, while overlooking a simple and highly effective solution daily movement. He highlights how a lack of consistent activity can lead to increased stress, fatigue, and decreased performance in the workplace.
Click the link in our bio to read the full article and learn how small changes can make a big impact.
#JAGPT #Forbes #Business #Wellness #Exercise</t>
  </si>
  <si>
    <t>2026-05-08</t>
  </si>
  <si>
    <t>Don't worry Gen Z we still love you...</t>
  </si>
  <si>
    <t>https://www.instagram.com/p/DYFFRIujmXl/</t>
  </si>
  <si>
    <t>Don't worry Gen Z we still love you... 
#JAGPhysicalTherapy #PhysicalTherapy #GenZ #Humor #SubwaySurfers</t>
  </si>
  <si>
    <t>At the heart of physical therapy is connection.</t>
  </si>
  <si>
    <t>https://www.instagram.com/p/DYC4i30CcUi/</t>
  </si>
  <si>
    <t>At the heart of physical therapy is connection.
Our clinician Margaret Webster shares what drives her every day in the clinic: helping patients rebuild their lives and regain what they’ve lost. For her, it’s not just about recovery, it’s about truly connecting with people and being part of their journey back to strength. 
#JAGPhysicalTherapy #PhysicalTherapy #Rehabilitation #HealingJourney #PatientCare</t>
  </si>
  <si>
    <t>Why do meniscus tears happen so often?</t>
  </si>
  <si>
    <t>https://www.instagram.com/p/DYATr6zAaEL/</t>
  </si>
  <si>
    <t>Why do meniscus tears happen so often?
JAG Physical Therapist Mike Hogan, PT, DPT, explains why this knee injury shows up in both athletes making quick cuts and active adults experiencing wear and tear over time.
Your meniscus plays a key role in cushioning and stabilizing the knee, and understanding how injuries occur can help you stay ahead of them.
Follow for more injury prevention and recovery tips from JAG clinicians.
#JAGPhysicalTherapy #SportsInjury #KneeHealth #PhysicalTherapy #MoveBetter</t>
  </si>
  <si>
    <t>2026-05-05</t>
  </si>
  <si>
    <t>New to working on your mobility? Start here.</t>
  </si>
  <si>
    <t>https://www.instagram.com/p/DX9u9D7FYLZ/</t>
  </si>
  <si>
    <t>New to working on your mobility? Start here.
Imani Coleman, PT, DPT walks through three beginner-friendly exercises to help improve hip mobility and keep you moving comfortably.
Strong, mobile hips support everything from walking and running to lifting and daily movement. Adding a few simple exercises to your routine can make a big difference.
Watch the video to learn all three exercises and start moving better today.
#JAGPhysicalTherapy #MoveBetterLiveBetter #MobilityMatters #HipMobility #ChoosePT</t>
  </si>
  <si>
    <t>2026-05-01</t>
  </si>
  <si>
    <t>Got any more ideas for us to try? Drop them in the comments and you might see yours in our next video 👀</t>
  </si>
  <si>
    <t>https://www.instagram.com/p/DXzrKIRCXG6/</t>
  </si>
  <si>
    <t>Got any more ideas for us to try? Drop them in the comments and you might see yours in our next video 👀 
#JAGPhysicalTherapy #MoveBetter #PTlife #HealthcareHumor #Rehablife</t>
  </si>
  <si>
    <t>Just had a knee replacement?</t>
  </si>
  <si>
    <t>https://www.instagram.com/p/DXw27rhjhEU/</t>
  </si>
  <si>
    <t>Just had a knee replacement?
Building strength and mobility is an important part of the recovery process.
JAG clinician Jackie Ruggiero, PT, DPT, demonstrates three exercises that can help support early knee rehabilitation and improve confidence with movement:
Seated Quad Sets • Standing Knee Flexion at Step • Seated Heel Slides
These movements help activate the muscles around the knee and gradually restore range of motion.
Follow for more recovery tips from our clinicians.
#JAGPhysicalTherapy #KneeReplacement #PhysicalTherapy #KneeRecovery #MoveBetter #Rehab</t>
  </si>
  <si>
    <t>2026-04-28</t>
  </si>
  <si>
    <t>Can you hold a 60-second squat?</t>
  </si>
  <si>
    <t>https://www.instagram.com/p/DXrfEW0EdoZ/</t>
  </si>
  <si>
    <t>Can you hold a 60-second squat?
JAG Physical Therapist Imani Coleman, PT, DPT, is challenging you to test your mobility, strength, and balance.
A deep squat requires good ankle, knee, and hip mobility, plus the stability to stay controlled throughout the movement.
Tell us how you did below!
#JAGPhysicalTherapy #MobilityChallenge #DeepSquat #MoveBetter #PhysicalTherapy #MobilityTraining</t>
  </si>
  <si>
    <t>Static stretching doesn’t always translate to better movement.</t>
  </si>
  <si>
    <t>https://www.instagram.com/p/DXZrx4zk8f4/</t>
  </si>
  <si>
    <t>Static stretching doesn’t always translate to better movement.
To truly improve mobility, your body needs strength, control, and stability through the ranges of motion you’re trying to build.
Sean Thomas, PT, DPT, demonstrates three movements that help you own your mobility:
Controlled Articular Rotations (CARs) • Banded Joint Distractions • Lotus Stretches
These exercises help train your joints and muscles to move with more control and confidence.
Follow for more clinician insights and movement tips.
#JAGPhysicalTherapy #MobilityTraining #PhysicalTherapy #MoveBetter #InjuryPrevention #JointHealth</t>
  </si>
  <si>
    <t>jagphysicaltherapy, hockeyinnj</t>
  </si>
  <si>
    <t>https://www.instagram.com/p/DXXUplAjxAB/</t>
  </si>
  <si>
    <t>From first page to final chapter. 
Thanks to @user for turning the pages all season long through the Hughes Bros Pucks &amp; Pages program, presented by @user</t>
  </si>
  <si>
    <t>Stronger elbows start with better strength and mobility!</t>
  </si>
  <si>
    <t>https://www.instagram.com/p/DXPYrsvgYDB/</t>
  </si>
  <si>
    <t>Stronger elbows start with better strength and mobility! 
Bianca Maira, OTR/L, CHT breaks down five exercises that help reduce pain and support recovery from tennis elbow. 
These movements target the muscles and tendons around the elbow to improve stability, reduce strain, and support everyday movement and sport. 
Follow for more exercises in honor of Occupational Therapy month! 
#JAGPhysicalTherapy #PhysicalTherapy #OccupationalTherapy #MoveBetter #InjuryPrevention #SportsHealth #Tennis</t>
  </si>
  <si>
    <t>2026-04-16</t>
  </si>
  <si>
    <t>JAG Physical Therapy’s Chief Clinical Officer, Mike Evangelist, was recently featured on Oklahoma's News 4 discussing a growing concern in y</t>
  </si>
  <si>
    <t>https://www.instagram.com/p/DXMz0kRj_Db/</t>
  </si>
  <si>
    <t>JAG Physical Therapy’s Chief Clinical Officer, Mike Evangelist, was recently featured on Oklahoma's News 4 discussing a growing concern in youth sports: the rise in young athletes requiring Tommy John surgery. In the segment, Evangelist explains how increased strain on the elbow especially in pitchers is leading to injuries once mostly seen at the professional level.
He highlights how overuse, improper mechanics, and the pressure to throw harder at a young age are contributing to this trend, with more teens experiencing serious arm injuries. 
Click the link in our bio to read the full article and learn how to help prevent injuries in young athletes.</t>
  </si>
  <si>
    <t>If your shoulders feel weak or unstable, strengthening the right muscles can make a big difference.</t>
  </si>
  <si>
    <t>https://www.instagram.com/p/DXMZ9aujLIi/</t>
  </si>
  <si>
    <t>If your shoulders feel weak or unstable, strengthening the right muscles can make a big difference.
JAG Physical Therapist Mike Hogan, PT, DPT, shares three exercises designed to build shoulder stability and control:
✔ High Pike to Plank ✔ Waiter Carry ✔ Resisted Face Pull to Overhead Press
Training the muscles that support the shoulder joint can help improve movement and protect against injury.
Follow for more clinician-led exercise tips.
#JAGPhysicalTherapy #ShoulderStrength #PhysicalTherapyTips #SportsRecovery #MoveBetter</t>
  </si>
  <si>
    <t>We handed Dan Kane from JAG Physical Therapy a camera and said “show us your world."</t>
  </si>
  <si>
    <t>https://www.instagram.com/p/DXE-rWwkcxz/</t>
  </si>
  <si>
    <t>We handed Dan Kane from JAG Physical Therapy a camera and said “show us your world."
He captured exactly what we hoped for - patient care, community events, his family life. Such an incredible glimpse into the life of a leader in physical therapy.
#LifeOnFilm #PTLife #BehindTheScenes #JAGPhysicalTherapy</t>
  </si>
  <si>
    <t>It’s Occupational Therapy Month 👏</t>
  </si>
  <si>
    <t>https://www.instagram.com/p/DW9nQOGhC4O/</t>
  </si>
  <si>
    <t>It’s Occupational Therapy Month 👏
At JAG Physical Therapy, our OTs do incredible work helping patients regain independence - right down to the smallest, most meaningful movements. 💪
Check out this custom splinting in action 🖐️, a quick look at how personalized care supports recovery, function, and everyday life.
#OTMonth #OccupationalTherapy #JAGPT #HandTherapy #RehabStrong</t>
  </si>
  <si>
    <t>2026-04-09</t>
  </si>
  <si>
    <t>Stronger knees start with better strength and stability.</t>
  </si>
  <si>
    <t>https://www.instagram.com/p/DW7ACtCxsNQ/</t>
  </si>
  <si>
    <t>Stronger knees start with better strength and stability.
Imani Coleman, PT, DPT, breaks down three exercises that help build knee strength and improve balance:
Single Leg RDL • Heel Elevated Squats • Curtsey Lunges
These movements target key muscles that support the knee and help improve control during everyday activity and sport.
Follow for more exercise tips from our clinicians.
#JAGPhysicalTherapy #KneeStrength #PhysicalTherapy #MoveBetter #InjuryPrevention SportsHealth</t>
  </si>
  <si>
    <t>jackhughes, jagphysicaltherapy</t>
  </si>
  <si>
    <t>https://www.instagram.com/p/DW4iDiPDzKJ/</t>
  </si>
  <si>
    <t>Expanding the book club. 
The Hughes Bros welcomed Jasiel, Isabela, Nyomi and Benjamin from their Pucks &amp; Pages program, presented by @user, to The Rock.</t>
  </si>
  <si>
    <t>2026-04-07</t>
  </si>
  <si>
    <t>Looking to build a stronger, more resilient back?</t>
  </si>
  <si>
    <t>https://www.instagram.com/p/DW1wq_-lTJ6/</t>
  </si>
  <si>
    <t>Looking to build a stronger, more resilient back?
Jackie Ruggiero, PT, DPT, is breaking down three simple exercises that can help improve core strength and support your spine:
Bridges • Planks • Bird Dogs
These movements target the muscles that help stabilize your back and can play an important role in injury prevention and long-term mobility.
Give them a try and start building a stronger foundation.
#JAGPhysicalTherapy #BackStrength #CoreStrength #PhysicalTherapy #MoveBetter #InjuryPrevention</t>
  </si>
  <si>
    <t>Runners know that staying strong off the road is just as important as the miles you log.</t>
  </si>
  <si>
    <t>https://www.instagram.com/p/DWochMAF7YB/</t>
  </si>
  <si>
    <t>Runners know that staying strong off the road is just as important as the miles you log.
Sean Thomas, PT, DPT, shares four strength exercises runners can add to their routine to help build stability, improve performance, and reduce the risk of injury.
If you’re looking to run stronger and smarter, these movements are a great place to start. Take a look and add them to your training routine.
JAGPhysicalTherapy #RunningStrength #RunStronger #InjuryPrevention #ChoosePT</t>
  </si>
  <si>
    <t>2026-03-31</t>
  </si>
  <si>
    <t>Ever get a muscle cramp right in the middle of competition?</t>
  </si>
  <si>
    <t>https://www.instagram.com/p/DWjnGfBj9AR/</t>
  </si>
  <si>
    <t>Ever get a muscle cramp right in the middle of competition?
It’s one of the most common things athletic trainers see on the sidelines.
In our final National Athletic Training Month video, JAG Athletic Trainer Kristyn Lawler, LAT, ATC, breaks down what to do when a cramp strikes during play, why stress and fatigue can make it worse, and how athletes can help prevent cramps moving forward.
Athletic trainers help athletes manage moments like these every day on the sidelines.
Follow for more sports injury tips.
#NationalAthleticTrainingMonth #JAGPhysicalTherapy #AthleticTraining #SportsHealth</t>
  </si>
  <si>
    <t>Want to unlock serious hip strength?</t>
  </si>
  <si>
    <t>https://www.instagram.com/p/DWWvHUJD109/</t>
  </si>
  <si>
    <t>Want to unlock serious hip strength?
Imani Coleman, PT, DPT, shares one of her go-to movements to help build stronger, more stable hips. Strong hips play a key role in balance, power, and overall movement, whether you’re training, competing, or just staying active.
Give it a try and start building strength where it matters most.
#JAGPhysicalTherapy #HipStrength #MoveBetter #StrengthTraining #ChoosePT</t>
  </si>
  <si>
    <t>It’s National Athletic Training Month, and treating injuries quickly on the field is part of the job.</t>
  </si>
  <si>
    <t>https://www.instagram.com/p/DWUKVlMAXrP/</t>
  </si>
  <si>
    <t>It’s National Athletic Training Month, and treating injuries quickly on the field is part of the job.
In this video, Stephanie LoSchiavo, MS, LAT, ATC, walks through how to properly treat turf burn so athletes can stay protected and continue to recover the right way.
Watch to see the steps and learn how to handle this common sports injury.
#NationalAthleticTrainingMonth #SportsMedicine #ATMonth #InjuryCare #JAGPhysicalTherapy</t>
  </si>
  <si>
    <t>2026-03-24</t>
  </si>
  <si>
    <t>Tight hips can limit how you move, train, and recover.</t>
  </si>
  <si>
    <t>https://www.instagram.com/p/DWRsYWjDib4/</t>
  </si>
  <si>
    <t>Tight hips can limit how you move, train, and recover.
Follow along as Marissa Bingler, PT, DPT, demonstrates the 90/90 hip mobility stretch, a simple movement that helps improve hip mobility and control.
Adding mobility work like this to your routine can help your body move more efficiently and reduce unnecessary strain during activity.
Watch the video to learn how to properly perform the 90/90 stretch and start unlocking your hips.
#JAGPhysicalTherapy #HipMobility #MoveBetter #MobilityMatters #ChoosePT</t>
  </si>
  <si>
    <t>Problem: solved</t>
  </si>
  <si>
    <t>https://www.instagram.com/p/DWPO2rQp5_L/</t>
  </si>
  <si>
    <t>Problem: solved 
#therapistlife #healthcarehumor #ptlife #clinicianlife #JAGPT</t>
  </si>
  <si>
    <t>It’s National Athletic Training Month, and our athletic trainers are always ready for whatever happens on the field.</t>
  </si>
  <si>
    <t>https://www.instagram.com/p/DWHSbY0gPkZ/</t>
  </si>
  <si>
    <t>It’s National Athletic Training Month, and our athletic trainers are always ready for whatever happens on the field.
In this video, Kristyn Lawler, LAT, ATC, walks through what to do if a nosebleed happens during play and how to handle it safely and effectively.
Quick action and the right technique can make all the difference. Watch the video to learn more.
#NationalAthleticTrainingMonth #AthleticTrainer #SportsSafety #ATLife #JAGPhysicalTherapy</t>
  </si>
  <si>
    <t>It’s National Athletic Training Month, so we had to put our AT to the test.</t>
  </si>
  <si>
    <t>https://www.instagram.com/p/DWEtlYzjSib/</t>
  </si>
  <si>
    <t>It’s National Athletic Training Month, so we had to put our AT to the test.
Alexis, MS, LAT, ATC, takes on Like, Love, or Leave with some classic athletic training essentials. From the sideline to the clinic, every AT has their favorites.
Tap in and see what makes the cut.
#NationalAthleticTrainingMonth #ATLife #SportsMedicine #SidelineSupport #JAGPhysicalTherapy</t>
  </si>
  <si>
    <t>2026-03-17</t>
  </si>
  <si>
    <t>A strong core supports every movement you make.</t>
  </si>
  <si>
    <t>https://www.instagram.com/p/DV_v43Vj9I8/</t>
  </si>
  <si>
    <t>A strong core supports every movement you make.
In this video, Sean Thomas, PT, DPT, from JAG Physical Therapy, demonstrates four core exercises designed to help improve strength, stability, and overall movement.
Whether you’re working out, training for a sport, or just looking to move better day to day, building core strength is a great place to start.
Watch the video to see all four exercises and add them to your routine.
#JAGPhysicalTherapy #CoreStrength #MoveBetter #InjuryPrevention #ChoosePT</t>
  </si>
  <si>
    <t>Did you roll your ankle… or is it something more?</t>
  </si>
  <si>
    <t>https://www.instagram.com/p/DVyzxFrDqyS/</t>
  </si>
  <si>
    <t>Did you roll your ankle… or is it something more?
In this video, Stephanie LoSchiavo, MS, LAT, ATC, breaks down the difference between ankle sprains and fractures, and when it may be time to seek further evaluation.
During National Athletic Training Month, our athletic trainers are sharing tips from the field to help athletes recognize and respond to common injuries.
Follow along all month for more insights from the athletic trainers who keep athletes in the game.
#NationalAthleticTrainingMonth #JAGPhysicalTherapy #AthleticTraining #SportsInjury #AnkleSprain</t>
  </si>
  <si>
    <t>nwcawrestling</t>
  </si>
  <si>
    <t>Wrestling doesn’t ease you into action. It demands explosive movement, awkward positions, and sudden force from the first whistle.</t>
  </si>
  <si>
    <t>https://www.instagram.com/p/DVtb4hRDmK2/</t>
  </si>
  <si>
    <t>Wrestling doesn’t ease you into action. It demands explosive movement, awkward positions, and sudden force from the first whistle.
In collaboration with the National Wrestling Coaches Association, Mike Santamaria, PT, DPT, breaks down how wrestlers should properly warm up to prepare for the intensity of the mat.
A purposeful warm-up activates the right muscles, improves control in unpredictable positions, and gets your body ready to handle force safely and effectively.
Don’t step on the mat unprepared. Watch the full video to learn how to warm up the right way.
#NWCA #WrestlingTraining #InjuryPrevention #TrainSmart #JAGPhysicalTherapy</t>
  </si>
  <si>
    <t>2026-03-06</t>
  </si>
  <si>
    <t>Every comeback starts somewhere.</t>
  </si>
  <si>
    <t>https://www.instagram.com/p/DVjSZ-ejkrF/</t>
  </si>
  <si>
    <t>Every comeback starts somewhere.
For Brennan Sprague of Monsignor Farrell High School in Staten Island, the journey didn’t begin with a state title, it began with a setback.
After not starting wrestling until his freshman year, Brennan suffered a neck injury during his sophomore season that could have been career-ending. 
Instead of walking away, he committed to his recovery. He chose to complete his rehabilitation at JAG Physical Therapy, putting in the work day after day to come back stronger, physically and mentally.
That commitment paid off. Brennan returned to the mat and went on to win a New York State Championship.
We’re proud of Brennan’s resilience and grateful our team could play a role in his comeback. Because behind every return to play is a plan, a team, and a belief that stronger is possible.
If you’re facing an injury, your comeback can start here, at JAG Physical Therapy.
#JAGPhysicalTherapy #ComebackStory #StatenIsland #MonsignorFarrell #Wrestling</t>
  </si>
  <si>
    <t>2026-01-26</t>
  </si>
  <si>
    <t>“Get Back The Life You Love.”</t>
  </si>
  <si>
    <t>https://www.instagram.com/p/DT-zly5Dl-N/</t>
  </si>
  <si>
    <t>“Get Back The Life You Love.”
It’s more than a tagline, it’s our daily reminder of what’s at stake for every patient who walks through our doors.
From first step to full recovery, we’re here to help you rise, rebuild, and return stronger.
Because getting back to your life means getting back to who you are.
#physicaltherapy #jagphysicaltherapy #newyork #newjersey #pennsylvania</t>
  </si>
  <si>
    <t>spearptnyc</t>
  </si>
  <si>
    <t>2026-10-13</t>
  </si>
  <si>
    <t>Pickleball is certainly having a moment, and as Spear's Zach Cogavin, PT, DPT, CSCS, shared with Bezzy T2D, there are real health benefits b</t>
  </si>
  <si>
    <t>https://www.instagram.com/p/Deb-40-jfnu/</t>
  </si>
  <si>
    <t>Pickleball is certainly having a moment, and as Spear's Zach Cogavin, PT, DPT, CSCS, shared with Bezzy T2D, there are real health benefits behind the hype 🥒 
In this feature, Zach explains how pickleball can support Type 2 Diabetes management, especially as a fun, social, and sustainable way to add more movement to your week. The sport combines moderate-intensity cardio, quick changes of direction, and lower-body and core engagement. Plus, it makes physical activity feel less like a chore and more like something you actually want to keep doing.
"Pickleball is inherently social," Zach shared. "Playing with friends can provide social interaction and enjoyment, but just as importantly, it can provide accountability and motivation to stay active." Read Zach's entire conversation with Bezzy T2D via the link in our bio, and keep on dinking!</t>
  </si>
  <si>
    <t>Marathon season is officially feeling real 🏃‍♂️</t>
  </si>
  <si>
    <t>https://www.instagram.com/p/DeZaMuDlWaR/</t>
  </si>
  <si>
    <t>Marathon season is officially feeling real 🏃‍♂️ 
With the New York City Marathon around the corner, our team spent time with runners at @user, talking through all the small things that can make a big difference over 26.2 miles: warm-ups, strength, mobility, and how to hold up as the miles add up.
Running may be the main event on November 1, but what happens before, after, and in between your runs matters, too, and Spear is here to help you move through these final weeks with confidence. If something feels off or if you want expert support heading into race day, book an appointment with one of our physical therapists today.
Good luck to everyone in the final stretch of training. We're cheering you on all the way to the finish line!</t>
  </si>
  <si>
    <t>Spear's Sarah Shoemaker, PT, DPT, was featured in @user, sharing her perspective on "sex span," a growing conversation around the years so</t>
  </si>
  <si>
    <t>https://www.instagram.com/p/DePG_pLjJ5I/</t>
  </si>
  <si>
    <t>Spear's Sarah Shoemaker, PT, DPT, was featured in @user, sharing her perspective on "sex span," a growing conversation around the years someone is able to experience comfortable intimacy as they age.
As Sarah shared in the full article, many people carry the misconception that they are "too old to be having sex," or assume that changes related to menopause, discomfort, or pelvic health are simply something they have to accept. The reality is that many of these concerns are treatable, and pelvic floor therapy can play an important role in helping people understand what is happening in their body and what support is available.
We're proud to see Sarah's expertise included in this important conversation and grateful for the way she helps make pelvic health feel more approachable, more understood, and less stigmatized. Read the full article via the link in our bio.</t>
  </si>
  <si>
    <t>𝐒𝐩𝐞𝐚𝐫 𝐏𝐡𝐲𝐬𝐢𝐜𝐚𝐥 𝐓𝐡𝐞𝐫𝐚𝐩𝐲 has opened a new 3,200-square-foot clinic in Wyckoff, giving North Jersey patients a welcoming space for recovery, in</t>
  </si>
  <si>
    <t>https://www.instagram.com/p/DeNlNvQDOHf/</t>
  </si>
  <si>
    <t>𝐒𝐩𝐞𝐚𝐫 𝐏𝐡𝐲𝐬𝐢𝐜𝐚𝐥 𝐓𝐡𝐞𝐫𝐚𝐩𝐲 has opened a new 3,200-square-foot clinic in Wyckoff, giving North Jersey patients a welcoming space for recovery, injury prevention, and performance-focused care.⁣
⁣
The clinic features an expansive open gym, private treatment space, sport-specific equipment, and Spear's signature peg wall. Most major insurance plans are accepted, and New Jersey patients can typically begin physical therapy without a physician referral.⁣
⁣
💪 𝐏𝐞𝐫𝐬𝐨𝐧𝐚𝐥𝐢𝐳𝐞𝐝 𝐏𝐡𝐲𝐬𝐢𝐜𝐚𝐥 𝐓𝐡𝐞𝐫𝐚𝐩𝐲⁣
The Wyckoff team offers physical therapy, occupational therapy, hand therapy, sports rehabilitation, pre- and post-operative care, vestibular rehabilitation, pediatrics, and dedicated pelvic floor therapy.⁣
⁣
🏃 𝐁𝐮𝐢𝐥𝐭 𝐀𝐫𝐨𝐮𝐧𝐝 𝐘𝐨𝐮𝐫 𝐆𝐨𝐚𝐥𝐬⁣
Clinical Director Stratton Drivanos, PT, DPT, grew up playing sports in the area, making this new clinic a homecoming for him. His team focuses on creating individualized plans based on what getting "back to life" means for each patient, whether that's returning to a sport, recovering from surgery, or simply moving without pain.⁣
⁣
📍 327 Franklin Ave, Suite 8, Wyckoff | @user⁣
🔗 Learn More at https://spearcenter.com/locations/new-jersey/new-jersey-wyckoff/</t>
  </si>
  <si>
    <t xml:space="preserve">Working with runners means considering everything that happens between one step and the next. In this session, we’re challenging single-leg </t>
  </si>
  <si>
    <t>https://www.instagram.com/p/DeMh_zIDIDA/</t>
  </si>
  <si>
    <t>Working with runners means considering everything that happens between one step and the next. In this session, we’re challenging single-leg balance, calf strength, hip control, and the body’s ability to stay organized under load. The BOSU work adds instability, the kettlebell changes the demand on posture, and the calf raises build strength for the repetitive push-off runners rely on with every mile.
Running can look simple from the outside, but a lot happens under each stride. These drills help build the strength, control, and confidence runners need to tackle the miles ahead.
🎥 @user Sukriye Cakir, PT, MS, MBA</t>
  </si>
  <si>
    <t>Did you know your Spear care can move with you?</t>
  </si>
  <si>
    <t>https://www.instagram.com/p/DeJ9PflAUbR/</t>
  </si>
  <si>
    <t>Did you know your Spear care can move with you?
Whether your week takes you from the suburbs to the city, from work to home, or between our locations, your appointments don't have to stay in one place. You can be seen at the Spear location that works best for your schedule, and your plan of care stays connected behind the scenes. 
Our therapists keep an open line of communication, so the expert you see today knows exactly where you are in your recovery, what you're working on, and what comes next.
Spear is here for you, no matter where you are. Book your appointment today via the link in our bio!</t>
  </si>
  <si>
    <t>And they can tell if you didn't... 👀</t>
  </si>
  <si>
    <t>https://www.instagram.com/p/Dd9FaeYF6P7/</t>
  </si>
  <si>
    <t>It's Concussion Awareness Month, and while September may be coming to a close, concussion awareness is worth talking about year-round.</t>
  </si>
  <si>
    <t>https://www.instagram.com/p/Dd6gPRtDvta/</t>
  </si>
  <si>
    <t>It's Concussion Awareness Month, and while September may be coming to a close, concussion awareness is worth talking about year-round.
After a concussion, it can be frustrating to still feel off when tests or scans come back normal. Dizziness, headaches, brain fog, nausea, balance issues, light sensitivity, and trouble getting back to work, school, or exercise can all be very real, even when everything “looks fine” on paper.
That’s where vestibular therapy can help. Our therapists work with you to better understand what you’re feeling, rebuild balance and visual stability, support your return to activity, and help you start feeling like yourself again.
If you’re still feeling symptoms after a concussion, you do not have to just wait it out. Spear is here to help.
#concussionawarenessmonth</t>
  </si>
  <si>
    <t>Sunnyside</t>
  </si>
  <si>
    <t>Spear Sunnyside is growing, and we're looking for great people to grow with us!</t>
  </si>
  <si>
    <t>https://www.instagram.com/p/Dd37k9ljKlF/</t>
  </si>
  <si>
    <t>Spear Sunnyside is growing, and we're looking for great people to grow with us!
Clinical Director Shruti Mishra, PT, is building a team rooted in expert care and the vibrant energy of this Queens community. We're currently hiring across a multitude of roles at this location!
If you're looking for more than your next job, this is the sign you're looking for: a chance to find your people and build a career. Come grow with us in Sunnyside! Apply now at spearcenter.com/careers</t>
  </si>
  <si>
    <t xml:space="preserve">Chief People Officer Stef Bloom is the cover feature for HRO Today's September issue, highlighting how Spear wins and retains top talent by </t>
  </si>
  <si>
    <t>https://www.instagram.com/p/Dd1WtckF6U7/</t>
  </si>
  <si>
    <t>Chief People Officer Stef Bloom is the cover feature for HRO Today's September issue, highlighting how Spear wins and retains top talent by treating the team member experience as a core business strategy.
In the article, Stef speaks to something we believe deeply at Spear: in healthcare, the people are the experience. The way we recruit, develop, support, and retain great clinicians and team members directly shapes the care people receive and the culture they feel when they walk through our doors.
"We spend a lot of time making sure we are a relationship-driven culture, and that team members feel they are viewed first as people versus employees," Stef shares.
The feature explores the work behind that belief, from leadership development to mentorship, engagement, and building systems that help our teams feel supported across more than 80 locations. It also speaks to Stef's perspective on what makes people leadership so critical in healthcare: listening closely and understanding what teams need builds a workplace where talented people can grow.
Congratulations, Stef, on this well-deserved recognition and a beautiful spotlight on the people-first work happening across Spear every day! Read the full article at the link in our bio. @user</t>
  </si>
  <si>
    <t>American Dream</t>
  </si>
  <si>
    <t>PARTNER ANNOUNCEMENT 🚨 🚨</t>
  </si>
  <si>
    <t>https://www.instagram.com/p/DdrEiDkRN_W/</t>
  </si>
  <si>
    <t>PARTNER ANNOUNCEMENT 🚨 🚨
We’re proud to welcome Spear Physical Therapy as the Official Physical Therapy Partner of Alpha Games 2026!
Thank you, @user , for your support and partnership as we get ready for Alpha Games: The Main Event on October 3rd at American Dream. Be sure to check out their Recovery Zone and activation in the Vendor Village on competition day. 💪
The countdown is on. 7 days out… 🔥
#AlphaGames2026 #TheMainEvent #AlphaFitClub</t>
  </si>
  <si>
    <t>Congratulations to our Sports Residency Graduates! Our yearlong APTA accredited program provides sports therapists with a curriculum to deve</t>
  </si>
  <si>
    <t>https://www.instagram.com/p/DdrDMCZlWFt/</t>
  </si>
  <si>
    <t>Congratulations to our Sports Residency Graduates! Our yearlong APTA accredited program provides sports therapists with a curriculum to develop their critical analysis, patient management, and communication skills. We are committed to guiding growth and continuous learning through our residency programs, giving participants the opportunity to learn via journal clubs, community events, mentoring hours, and more. 
Swipe to hear from our graduates! 🎓💪
I loved my experience in the Sports Residency program as it challenged me both as an individual and as a clinical professional. With the experience I have gained over the last year I've been able to better understand what I like to do with the patient population in order to get them back to the sport that brought them in, and playing even better than before! - Niyati Parikh, PT, DPT
This program has been an incredible experience that has improved my ability to support athletes from injury to recovery, as well as learn from experienced mentors. I am thankful for the opportunity to continue to develop as a clinician, and to learn from so many great therapists! - John Batuello, PT, DPT
The Sports Residency has really been an incredible experience, and I'm grateful to have had the opportunity to learn from an amazing group of mentors and peers. Over the past year, I've grown my clinical expertise through community events, 1:1 mentorship, and close collaboration with my peers. - Henry Fok, PT, DPT</t>
  </si>
  <si>
    <t>Physical therapy can be part of your health and wellness routine long before an injury brings you through the door.</t>
  </si>
  <si>
    <t>https://www.instagram.com/p/Ddoe8dbjewU/</t>
  </si>
  <si>
    <t>Physical therapy can be part of your health and wellness routine long before an injury brings you through the door.
Maybe you’re training for something, getting back into a sport, noticing a movement that feels a little off, or simply trying to move better and feel stronger day to day. PT can help you understand how your body is moving, where there may be room to improve, and what you can do to keep progressing.
You don’t have to wait until something hurts to start paying attention to how your body is working. Come stop in at Spear today and meet with one of our physical therapists! Book via the link in our bio.</t>
  </si>
  <si>
    <t>Formally requesting a Synergy emoji 🤝</t>
  </si>
  <si>
    <t>https://www.instagram.com/p/DdjVTmlDPZd/</t>
  </si>
  <si>
    <t>Wyckoff, New Jersey</t>
  </si>
  <si>
    <t xml:space="preserve">We're now open in Wyckoff, New Jersey! Meet Clinical Director Stratton Drivanos, PT, DPT, AIB VR-C, a New Jersey native coming home to lead </t>
  </si>
  <si>
    <t>https://www.instagram.com/p/Ddbm28IjYqM/</t>
  </si>
  <si>
    <t>We're now open in Wyckoff, New Jersey! Meet Clinical Director Stratton Drivanos, PT, DPT, AIB VR-C, a New Jersey native coming home to lead our newest location. Join him on a tour of our state-of-the-art space, designed to keep you moving at your best. Book an appointment now via the link in our bio!</t>
  </si>
  <si>
    <t xml:space="preserve">We're proud to be collaborating with NewYork-Presbyterian to expand access to outpatient rehabilitation care, with nine new Spear locations </t>
  </si>
  <si>
    <t>https://www.instagram.com/p/DdYz9jTjdAB/</t>
  </si>
  <si>
    <t>We're proud to be collaborating with NewYork-Presbyterian to expand access to outpatient rehabilitation care, with nine new Spear locations opening across New York City and Westchester this year. 
This collaboration brings together Spear's expertise in physical and occupational therapy with NewYork-Presbyterian's extensive network of specialty care. Together, we're creating more opportunities for patients to access care closer to home and stay connected to their care team throughout recovery. 
We couldn’t be more excited about what’s ahead as we work together to bring Spear’s award-winning care to more patients and communities across New York. 
To learn more about the collaboration, visit the link in our bio.</t>
  </si>
  <si>
    <t>When your keyboard knows exactly what you’re looking for 👀</t>
  </si>
  <si>
    <t>https://www.instagram.com/p/DdT4g74CQmg/</t>
  </si>
  <si>
    <t>When your keyboard knows exactly what you’re looking for 👀
Good thing Spear offers all this and more. Looking to take the next step in your career? Join us by visiting spearcenter.com/careers</t>
  </si>
  <si>
    <t>Brooklyn, New York</t>
  </si>
  <si>
    <t>aysi.us, spearptnyc</t>
  </si>
  <si>
    <t>This day was full of learning, meeting new and old friends, laughter and lots of tennis! KCTL partnered up with spear ( @user ) and th</t>
  </si>
  <si>
    <t>https://www.instagram.com/p/DdRf-6QFV0I/</t>
  </si>
  <si>
    <t>This day was full of learning, meeting new and old friends, laughter and lots of tennis! KCTL partnered up with spear ( @user ) and the students from Athletes Youth Success Institute ( @user ) in Atlanta, Georgia came to Brooklyn to visit KCTL’s students. This was the second year that they have come to visit. Spear taught the students great ways to warm up and to cool down to help with performance and to avoid injury. Students also worked on volleys, servers, footwork and also played some fun games like King/Queen of the court. What a great day. 🎾❤️
#YouthSports #PublicHousing #KingsCountyTennis #TennisKids #Brooklyn #TennisForAll</t>
  </si>
  <si>
    <t>In these drills, we’re asking the body to stay organized on one leg while other things are happening at the same time: a ball toss, a slider</t>
  </si>
  <si>
    <t>https://www.instagram.com/p/DdRTsydERvU/</t>
  </si>
  <si>
    <t>In these drills, we’re asking the body to stay organized on one leg while other things are happening at the same time: a ball toss, a slider, a band pulling at the knee, or a small external challenge that forces the hip, knee, and ankle to react.
For runners and athletes, all of that matters. Every stride, cut, landing, and change of direction asks the body to absorb force, control alignment, and keep moving without everything being perfectly predictable. These exercises help build that control more dynamically, so strength can carry over into the activities you're working to get back to.
🎥 @user Sukriye Cakir, PT, MS, MBA</t>
  </si>
  <si>
    <t>Red Bank, New Jersey</t>
  </si>
  <si>
    <t>spearptnyc, theskinandhealthexpert, kima.aesthetics</t>
  </si>
  <si>
    <t>Thank you, Dr. James Lenzi, for providing an amazing tip for our patients who have TMJ! @user</t>
  </si>
  <si>
    <t>https://www.instagram.com/p/DdFkb2MxhNl/</t>
  </si>
  <si>
    <t>Thank you, Dr. James Lenzi, for providing an amazing tip for our patients who have TMJ! @user 
Jaw pain, tension, headaches or clenching? Your TMJ may be part of the problem.
💉 Botox can help relax overactive jaw muscles and reduce tension, but it’s not the only option!
Physical therapy can also be a great tool to improve mobility, muscle balance and address some of the mechanics contributing to TMJ discomfort.
Sometimes the best approach is a combination for the right person. 🤍
#TMJRelief #MasseterBotox #TMJTreatment #RedBankNJ #ViaFuse</t>
  </si>
  <si>
    <t>Fresh Meadows</t>
  </si>
  <si>
    <t>Fresh Meadows, we are ready to welcome you! Meet Eliana Savitsky, OTR/L, Clinical Director. She's excited to bring Spear's award-winning car</t>
  </si>
  <si>
    <t>https://www.instagram.com/p/DdEbu5KDkLr/</t>
  </si>
  <si>
    <t>Fresh Meadows, we are ready to welcome you! Meet Eliana Savitsky, OTR/L, Clinical Director. She's excited to bring Spear's award-winning care to this vibrant Queens community. Book your appointment now via the link in our bio!</t>
  </si>
  <si>
    <t>💃 FREE 25-MINUTE DANCE SCREENS 💃</t>
  </si>
  <si>
    <t>https://www.instagram.com/p/DdB21LljFZE/</t>
  </si>
  <si>
    <t>💃 FREE 25-MINUTE DANCE SCREENS 💃
Celebrate National Dance Day with Spear's Center for the Performing Arts! Join us on Saturday, September 19th from 1:00–5:00 PM for a FREE 25-minute movement screen led by a licensed dance physical therapist. We’ll take you through dance-specific movement patterns, identify areas that may be limiting your training, and provide exercises to help you move, train, and perform at your best.
Whether you’re a professional dancer, student, or simply love to dance, this is a great opportunity to learn more about your movement and take care of your body.
📍 Spear Center for the Performing Arts — Times Square (7th Ave between 48th &amp; 49th)
⏰ Saturday, September 19 | 1:00–5:00 PM
✨ FREE | Space is limited!
Don’t wait! Spots are LIMITED and are first come, first served. Register now via the link in our bio!
#DanceMedicine #DancerWellness #DancePT #NYCDancers #NationalDanceDay</t>
  </si>
  <si>
    <t>All Spear locations are closed today, September 7, in observance of Labor Day. Enjoy the holiday, and we'll see you for regular business hou</t>
  </si>
  <si>
    <t>https://www.instagram.com/p/Dc_EMSKm3gm/</t>
  </si>
  <si>
    <t>All Spear locations are closed today, September 7, in observance of Labor Day. Enjoy the holiday, and we'll see you for regular business hours tomorrow!</t>
  </si>
  <si>
    <t>Some New Yorkers end up in PT because of marathon training. Some because they agreed to help a friend move. Some because the subway doors st</t>
  </si>
  <si>
    <t>https://www.instagram.com/p/Dc0-7W-my-q/</t>
  </si>
  <si>
    <t>Some New Yorkers end up in PT because of marathon training. Some because they agreed to help a friend move. Some because the subway doors started closing and instinct took over. If you've ever carried too many grocery bags or learned the hard way that one “innocent” workout class was not so innocent, this one’s for you.
New York keeps us on our toes...sometimes literally. Let Spear help keep you moving. Book your appointment via the link in bio today!</t>
  </si>
  <si>
    <t>Marathon training asks a lot from your body. Your running form should be working with you, not against you.</t>
  </si>
  <si>
    <t>https://www.instagram.com/p/Dcv1bMjka56/</t>
  </si>
  <si>
    <t>Marathon training asks a lot from your body. Your running form should be working with you, not against you.
Spear’s Running Analysis is designed to give runners a clearer look at how they move. During the session, a physical therapist reviews your running history, training habits, goals, strength, endurance, and treadmill mechanics, using video analysis to identify areas that may be impacting performance, efficiency, or injury risk. From there, you’ll receive personalized feedback and a customized plan to help you run smarter, move better, and feel more confident as you head into your next training block, race, or big goal.
Every mile tells a story, and we're here to help you understand yours.
🎥 /🏃‍♀️‍➡️ : @user</t>
  </si>
  <si>
    <t>Late-stage ACL rehab is where strength starts to meet real life again. These progressions are designed to challenge the pieces that matter w</t>
  </si>
  <si>
    <t>https://www.instagram.com/p/Dci9Ra5E3a9/</t>
  </si>
  <si>
    <t>Late-stage ACL rehab is where strength starts to meet real life again. These progressions are designed to challenge the pieces that matter when someone is working back toward higher-level activity: single-leg strength, balance, reactive control, hamstring work, and confidence in loading the knee in different positions. Our PTs are dedicated to ensuring you can get back to doing what you love post-surgery.
🎥 @user Sukriye Cakir, PT, MS, MBA</t>
  </si>
  <si>
    <t>2026-08-26</t>
  </si>
  <si>
    <t>athletexnyc, icecold.club, spearptnyc, truewellnessnj</t>
  </si>
  <si>
    <t>And that is a wrap on our 2026 Summer GAMEDAY Series 👏</t>
  </si>
  <si>
    <t>https://www.instagram.com/p/DchVBgQBPYm/</t>
  </si>
  <si>
    <t>And that is a wrap on our 2026 Summer GAMEDAY Series 👏
NYC you went out with a win. Thank you to all who came out and made it special!
THE MVPS:
💪 @user for leading an incredible HIIT and ice bath session
🧊 @user for the cold plunge experience
🦴 @user for on-site physical therapy services
💬 @user for electron massage therapy
🩱 @user for the swimsuits
🧘 @user Yoga for the mats 
🥤 @user for the protein shakes and electrolytes
💧 @user for keeping everyone hydrated
🌴 @user for partnering with us 
We loved welcoming new faces into this community and cannot wait to see you at the next one. A lot more coming soon👀
#AthletEX #GAMEDAY</t>
  </si>
  <si>
    <t>Congratulations to our Orthopedic Residency Graduates! This 12-month APTA accredited program is designed to enhance clinical reasoning and s</t>
  </si>
  <si>
    <t>https://www.instagram.com/p/DcdzWt7lWNc/</t>
  </si>
  <si>
    <t>Congratulations to our Orthopedic Residency Graduates! This 12-month APTA accredited program is designed to enhance clinical reasoning and skills. Clinicians must complete a minimum of 1,800 hours, including case reviews, clinic care hours, and 1:1 mentoring.
Swipe to hear from our recent grads! 
"Spear's Orthopedic Residency has been one of the most rewarding chapters of my career so far. It challenged me in ways I didn’t always expect and pushed me outside of my comfort zone, both as a clinician and as a person. It taught me to trust myself, strengthen my clinical reasoning, and keep pushing myself to grow. I’m especially grateful for the mentorship and support I received along the way, and for the people who made this experience so meaningful. I’m incredibly grateful for the lessons, friendships, and memories I’ll take with me, and excited for everything that’s ahead." - Shravani Bhogate, PT, DPT
"My experience in the Spear Orthopedic Residency Program has had a lasting impact on the way I approach patient care. My favorite part of the residency was the mentorship opportunities. The direct mentorship and shadowing opportunities were invaluable, allowing me to learn from experienced clinicians and gain a deeper understanding of orthopedic practice. The hands-on exposure and guidance I received have made me much more confident as a clinician and allowed me to build relationships with many new colleagues here at Spear!" - Harley Checo, PT, DPT, BRM
"The Orthopedic Residen</t>
  </si>
  <si>
    <t>Real Spear fans tap in 👇</t>
  </si>
  <si>
    <t>https://www.instagram.com/p/DcbO3xkHGPQ/</t>
  </si>
  <si>
    <t>Jeffrey Smith, PT, DPT, TPI L1, Clinical Director of Spear American Dream, breaks down how Spear’s Golf Swing Analysis helps connect PT to t</t>
  </si>
  <si>
    <t>https://www.instagram.com/p/DcQ7tpIj-8m/</t>
  </si>
  <si>
    <t>Jeffrey Smith, PT, DPT, TPI L1, Clinical Director of Spear American Dream, breaks down how Spear’s Golf Swing Analysis helps connect PT to the perfect swing.
Using the Titleist Performance Institute approach, our TPI-certified therapists look at how your body moves in relation to your golf swing, including posture, mobility, strength, sequencing, and the physical limitations that may be affecting your performance or adding stress to your body.
The analysis includes a physical screen, biomechanical video analysis, a report of findings, and an individualized golf-specific program designed to help improve power, flexibility, core strength, ball striking, and overall movement.
The goal is a healthier, more efficient game you can keep playing for years to come.</t>
  </si>
  <si>
    <t>drjbcrow</t>
  </si>
  <si>
    <t>https://www.instagram.com/p/DcOWyNuo1de/</t>
  </si>
  <si>
    <t>Jeremy Crow has been named APTA New York’s 2026 Physical Therapist of the Year, and it is hard to think of someone more deserving. Jeremy’s impact at Spear reaches far beyond the care he provides in the clinic. He is a clinician, teacher, mentor, leader, and steady presence for so many people across our team.
What makes Jeremy special is not only how much he knows, though anyone who has worked with him knows that list is long. It is the way he shares that knowledge, the time he gives to others, and the genuine care he brings to helping people grow. His patients feel it. His colleagues feel it. The next generation of physical therapists feels it. 
This video captures just a small piece of the legacy Jeremy continues to build at Spear and within the profession. You see him in the clinic, doing the work with the same focus and care he brings every day. You also hear from the people who know his influence up close and have watched him help shape the standard for clinical excellence at Spear. And through it all, you get a sense of the kind of clinician and teacher Jeremy is: thoughtful, deeply knowledgeable, generous with his time, and genuinely invested in helping other people grow. 
We are incredibly proud to celebrate Jeremy and this well-deserved recognition. Congratulations, Jeremy. Your impact on Spear, your patients, your colleagues, and the physical therapy profession is felt every day. 
Special thanks to Lisa Yirce, Ryan Coye, and Kevin Lapham.</t>
  </si>
  <si>
    <t>People and culture work touches every part of a company, and our Chief People Officer Stef Bloom gets right to the heart of why. In her conv</t>
  </si>
  <si>
    <t>https://www.instagram.com/p/DcMgaKYiNe7/</t>
  </si>
  <si>
    <t>People and culture work touches every part of a company, and our Chief People Officer Stef Bloom gets right to the heart of why. In her conversation with Chris Russell on the RecTech Podcast, Stef shares how the CPO role has evolved far beyond a traditional HR function.
Today, it means being deeply connected to the business, understanding how decisions shape the people experience, and making sure the human impact is part of the conversation from the start.
In the full episode, Stef talks about healthcare as hospitality, and bringing that same hospitality mindset into recruiting, developing leaders, and how AI can help create more space for the work that matters most. Watch the full conversation via the link in our bio to hear more from Stef on leadership, culture, and what it takes to build people-first teams in healthcare.</t>
  </si>
  <si>
    <t>2026-08-12</t>
  </si>
  <si>
    <t>the chicest team around ✨️</t>
  </si>
  <si>
    <t>https://www.instagram.com/p/Db8VdanH3KJ/</t>
  </si>
  <si>
    <t>the chicest team around ✨️
Interested in working with us? Visit spearcenter.com/careers</t>
  </si>
  <si>
    <t>Nine times and counting!</t>
  </si>
  <si>
    <t>https://www.instagram.com/p/Db5wTsyn-q1/</t>
  </si>
  <si>
    <t>Nine times and counting! 
Spear is proud to be recognized once again on the Inc. 5000 list, marking our 9th time earning a spot among the fastest-growing private companies in America.
This year, Spear also ranked No. 217 in the New York City Metro Area, No. 261 in Healthcare and Medical, and No. 188 in New York State.
This achievement is a direct reflection of our clinicians, care teams, leaders, and every team member helping Spear continue to expand access to exceptional care across the communities we serve. @user</t>
  </si>
  <si>
    <t>Postcards from me and my Home Exercise Program</t>
  </si>
  <si>
    <t>https://www.instagram.com/p/Db3SIktPGUJ/</t>
  </si>
  <si>
    <t>Postcards from me and my Home Exercise Program
🏴󠁧󠁢󠁳󠁣󠁴󠁿 → 🇬🇧 → 🇫🇷 → 🇪🇸 → 💪
🎥: @user</t>
  </si>
  <si>
    <t>we think PT and OT are pretty chic 💅</t>
  </si>
  <si>
    <t>https://www.instagram.com/p/Dbs4aVYm3p3/</t>
  </si>
  <si>
    <t>interimdance</t>
  </si>
  <si>
    <t>Dancers know you don’t always get the perfect warm-up space. Sometimes it’s a hallway, a corner backstage, a packed audition holding room, a</t>
  </si>
  <si>
    <t>https://www.instagram.com/p/DbqTomgE5ZZ/</t>
  </si>
  <si>
    <t>Dancers know you don’t always get the perfect warm-up space. Sometimes it’s a hallway, a corner backstage, a packed audition holding room, all five minutes before your name is called. That’s exactly why Spear’s Center for Performing Arts is joining @user for a free audition prep workshop designed to help dancers feel ready, wherever they are.
Our performing arts physical therapists will lead Dance Ready in Any Space, a practical session focused on evidence-based warm-up strategies built specifically for dancers. You’ll learn how to improve mobility and activation, support performance readiness, and reduce injury risk with tools you can use before auditions, classes, rehearsals, and performances.
Then, Interim Dance Collective will host Booking the Gig, a mock-audition combo designed to help dancers feel more confident about standing out in the room.
Hosted at the @user flagship store, this workshop brings together physical therapy, performance prep, and real audition practice in one supportive space.
🗓 Monday, August 10
⏰ 7:00–8:30 PM
📍 Capezio NYC Flagship Store, 1650 Broadway, 2nd Floor
Reserve your spot today via the link in bio.</t>
  </si>
  <si>
    <t>Meet Johanna Sumaria, PT, Clinical Director of our Jackson Heights location.</t>
  </si>
  <si>
    <t>https://www.instagram.com/p/DbnxmfWjMt3/</t>
  </si>
  <si>
    <t>Meet Johanna Sumaria, PT, Clinical Director of our Jackson Heights location.
Johanna’s story is one of resilience, belonging, and the kind of care that is deeply personal. As a first-generation immigrant, moving to New York meant more than starting over. It meant building a life, finding community, and learning to carry her story with pride. Today, that journey shapes how she leads her team and the home she is creating within our Jackson Heights clinic, a space where every person who walks through the door feels seen, welcomed, and cared for.
“For me, bringing Spear to this community is more than expanding a clinic. It’s an extension of my own story. It’s my way of giving back to the city that gave me the opportunity to build a life while serving the people who make New York so vibrant and unique.”
This is Spear Lives Here. Where care goes beyond our clinic walls, and community is at the heart of everything we do.
Read Johanna’s full blog post via the link in bio!</t>
  </si>
  <si>
    <t>Spear’s Camryn Gessner, PT, DPT, AIB-VR/CON, was featured in @user, sharing why ankle mobility matters more than people may reali</t>
  </si>
  <si>
    <t>https://www.instagram.com/p/DbljjKpHxg4/</t>
  </si>
  <si>
    <t>Spear’s Camryn Gessner, PT, DPT, AIB-VR/CON, was featured in @user, sharing why ankle mobility matters more than people may realize, especially when it comes to building a stronger, more stable squat.
As Camryn explains, when ankle motion is limited, the body usually finds another way to get the job done: heels lift, knees cave in, or the torso leans too far forward. Improving that mobility can help you move with better form, more control, and less compensation.
It’s a great reminder that sometimes the most meaningful progress starts with the details: the small mechanics, the way one joint moves, and the way your body works as a whole.
We're proud to see Camryn's expertise highlighted and grateful for the way she brings that same thoughtful, evidence-based approach to her patients every day. Read the full article at the link in bio!</t>
  </si>
  <si>
    <t>kathakfestival</t>
  </si>
  <si>
    <t xml:space="preserve">Kathak is one of India’s oldest classical dance forms, built on intricate footwork, rapid spins, and expressive storytelling. Every tatkar, </t>
  </si>
  <si>
    <t>https://www.instagram.com/p/DbVtNTIli1X/</t>
  </si>
  <si>
    <t>Kathak is one of India’s oldest classical dance forms, built on intricate footwork, rapid spins, and expressive storytelling. Every tatkar, every chakkar, every precise step is the result of years of training, repetition, and dedication carried through the body.
And yet, the physical demands on the feet, ankles, and the entire lower body are often not discussed with the attention they deserve. That’s where physical therapy comes in — not to slow dancers down, but to help them go further, for longer.
Join us at the New York Kathak Festival for Beneath the Ghungroo: Foot and Ankle Health for Kathak Dancers, a workshop led by Spear therapists Rutvi Shah, PT, MS, Himani Chokshi, PT, DPT, and Akshaya Savant, PT, MSPT.
In this session, we’ll explore the anatomy behind your practice, common injuries and how to recognize them early, practical tools for teachers, and exercises designed specifically for the demands of Kathak.
🗓 August 1
⏰ 2:00–3:15 PM
📍 New York Live Arts, 219 W 19th St @user</t>
  </si>
  <si>
    <t>conquerkidspickleball</t>
  </si>
  <si>
    <t>Our pediatric therapists, Jason Kang, PT, DPT, Riya Shah, PT, DPT, AIB-VR/CON, and Danielle Freund, PT, DPT, spent the day at East Side Comm</t>
  </si>
  <si>
    <t>https://www.instagram.com/p/DbBG4PfDPRt/</t>
  </si>
  <si>
    <t>Our pediatric therapists, Jason Kang, PT, DPT, Riya Shah, PT, DPT, AIB-VR/CON, and Danielle Freund, PT, DPT, spent the day at East Side Community School with @user, leading warm-ups, helping kids move safely, and getting in on the action. Safe to say…we may have been outmatched. The kids absolutely brought their A-game!</t>
  </si>
  <si>
    <t>The Spear Future Leader Program (SFLP) brings together team members from across the organization who are eager to grow and deepen their impa</t>
  </si>
  <si>
    <t>https://www.instagram.com/p/DaxqD2DDQB8/</t>
  </si>
  <si>
    <t>The Spear Future Leader Program (SFLP) brings together team members from across the organization who are eager to grow and deepen their impact at Spear and beyond. Module 2 continues with a closer look at one of the most important parts of leadership: management. 
Cohort XIII heard from Spear's Regional Directors about what it takes to be a strong and successful manager, not only as a business leader, but also as a people leader, culture builder, and clinician. Through their perspectives, participants explored the many ways great managers create accountability, build trust, support growth, and help teams perform at their highest level.
As the cohort continues to move through the program, sessions like this one continue to challenge participants to think more broadly about leadership and the impact they want to have at Spear.</t>
  </si>
  <si>
    <t>We loved kickin' it at American Dream! With the World Cup right in our backyard, we hosted a day full of fun, games...and a little bit of re</t>
  </si>
  <si>
    <t>https://www.instagram.com/p/Dafawm3Fqjy/</t>
  </si>
  <si>
    <t>We loved kickin' it at American Dream! With the World Cup right in our backyard, we hosted a day full of fun, games...and a little bit of recovery.
Enjoy the rest of the tournament! ⚽️</t>
  </si>
  <si>
    <t>Spear locations are closed today, July 3rd, in observance of the July 4th holiday.</t>
  </si>
  <si>
    <t>https://www.instagram.com/p/DaVA2cbFlET/</t>
  </si>
  <si>
    <t>Spear locations are closed today, July 3rd, in observance of the July 4th holiday. 
Happy 250th, USA! 🎆</t>
  </si>
  <si>
    <t>For 27 years, Picnic in the Park has brought Spear together for one of our favorite traditions. This year, we packed our bags and headed off</t>
  </si>
  <si>
    <t>https://www.instagram.com/p/DaOUHn8D0ik/</t>
  </si>
  <si>
    <t>For 27 years, Picnic in the Park has brought Spear together for one of our favorite traditions. This year, we packed our bags and headed off to Camp Spear-It. C'mon and hit the trails with us!
The day began with a company-wide scavenger hunt, during which teams cracked clues and earned their first merit badges before heading to Central Park. By the time everyone reached SummerStage, we had over 1,200 certified scouts ready for field games, tie-dye, and tent building. Take a peek behind the tent flap for the full camp experience, from the opening bugle call to the final cheers 🎺 
See you next year, campers!
🎥 @user</t>
  </si>
  <si>
    <t>👋 Big news from the Spear team! We're proud to celebrate two team members who recently earned their Certified Hand Therapist (CHT) credentia</t>
  </si>
  <si>
    <t>https://www.instagram.com/p/DZ7lXaRE6sA/</t>
  </si>
  <si>
    <t>👋 Big news from the Spear team! We're proud to celebrate two team members who recently earned their Certified Hand Therapist (CHT) credentials: Michelle Costa, OTR/L, CHT, and Aditi Kadakia, MS, OTR/L, CHT. Becoming a CHT requires 3 years of clinical experience and more than 4,000 hours treating the upper extremities. Because of the demanding certification process, there are fewer than 150 CHTs in New York City. This achievement highlights their commitment to clinical excellence and reinforces Spear's dedication to maintaining the highest standards of specialized care. 
Michelle and Aditi tell us more about why they love this profession:
"I love hand therapy because our hands truly are one of the most integral parts of our body. Not only are they the tools we use for nearly all of our daily functions, but they are also the gateway through which we experience the world. Our hands provide us with touch, warmth, connection, and allow us to interact with the people and environment around us. Helping people regain use of their hands and enabling them to do the things that mean the most to them is a gift, and it is what makes being in the Occupational Therapy profession so special." - Michelle Costa, OTR/L, CHT
"My favorite part of being a CHT is knowing that I have the knowledge and skills to help patients regain functional use of their hands to participate in all their daily activities, whether it's playing sports, opening jars, cooking, or working on a computer. This certific</t>
  </si>
  <si>
    <t>https://www.instagram.com/p/DZvPmsdFSU1/</t>
  </si>
  <si>
    <t>My PT works with bands...
My OT works with hands...
Spear keeps New York alive...
KNICKS IN FIVE! 💙🧡
Spear celebrated the best way we know how...with a clinic theme day! Teams across Spear donned their best orange &amp; blue and struck the classic Brunson pose. Congrats @user and GO NEW YORK, GO NEW YORK, GO!
Swipe to the end for a pic on the parade route with our 70 Pine and Wall Street teams! #letsgoknicks</t>
  </si>
  <si>
    <t>In this episode of Innovate and Rehabilitate: The Entrepreneurial PT, host Derek Lee sits down with Jeremy Crowe, a nationally recognized le</t>
  </si>
  <si>
    <t>https://www.instagram.com/p/DZuvqQnjf-A/</t>
  </si>
  <si>
    <t>In this episode of Innovate and Rehabilitate: The Entrepreneurial PT, host Derek Lee sits down with Jeremy Crowe, a nationally recognized leader in physical therapy with over 20 years of experience spanning clinical care, education, and advocacy. Jeremy shares how he built a multifaceted career—from treating elite athletes to leading residency programs and shaping the profession through involvement in APTA.
Watch this reel to hear a highlight from the conversation. Then find the full episode by searching The Entrepreneurial PT wherever you listen to podcasts.</t>
  </si>
  <si>
    <t>2026-06-17</t>
  </si>
  <si>
    <t>The confetti is flying, the crowd is loud, and YES, we're still open downtown! 🧡💙</t>
  </si>
  <si>
    <t>https://www.instagram.com/p/DZsPglMEz7Y/</t>
  </si>
  <si>
    <t>The confetti is flying, the crowd is loud, and YES, we're still open downtown! 🧡💙 
Our Wall St, Chambers St, Tribeca, and Pine St locations are all open on Thursday during the Knicks ticker tape parade. Scheduled patients have been contacted directly, but if you’re heading our way, please allow plenty of extra travel time and check the NYC Department of Transportation's road closure updates. 
Let's go Knicks, let's go New York, and let's keep moving!</t>
  </si>
  <si>
    <t>Exciting things are happening at Spear!</t>
  </si>
  <si>
    <t>https://www.instagram.com/p/DZp6Befn4Uj/</t>
  </si>
  <si>
    <t>Exciting things are happening at Spear!
Yesterday, our Sunnyside and Ditmas Park locations officially opened 🎉 Congratulations to Clinical Directors Shruti Mishra, PT, MS, and Ben Miles, PT, DPT. And our Astoria-Ditmars team celebrated their first year with an official ribbon-cutting! Shoutout to Clinical Director Deirdre McPartland, PT, DPT, and the entire team on this accomplishment.
Thank you for all you do across our communities!</t>
  </si>
  <si>
    <t>Picnic in the Park is our annual summer all-company gathering, and this year's theme is all things summer camp: s'mores, bug spray, songs ar</t>
  </si>
  <si>
    <t>https://www.instagram.com/p/DZdZEwkAWe2/</t>
  </si>
  <si>
    <t>Picnic in the Park is our annual summer all-company gathering, and this year's theme is all things summer camp: s'mores, bug spray, songs around the campfire. We pack our bags and head off to Camp Spear-It tomorrow, but first...Spear-It Week! 🏕️
To kick things off, our clinics celebrated the PIP lead-up with a new camp challenge each day. Here are a few highlights from a week of creativity, teamwork, and very committed camp spirit.
🎶 Cabin Song: clinics wrote and performed their own original camp anthems
🗺️ Trail Mix &amp; Trail Maps: teams showed off their community pride with maps of their favorite neighborhood spots
💪 Tug of War: a little friendly competition before the real showdown
👻 Spooky Mad Libs: teams filled out a creepy Mad Libs story...which came to life in their clinics
See you tomorrow at Camp Spear-it!</t>
  </si>
  <si>
    <t>$8.5k prize money - July 12th - Moglia Stadium, NYC</t>
  </si>
  <si>
    <t>https://www.instagram.com/p/DZafWB6R2Xg/</t>
  </si>
  <si>
    <t>$8.5k prize money - July 12th - Moglia Stadium, NYC
Spots are filling up fast. Hit up your old teammates or your rec league group chat and build your team or come solo and we'll find you one.
On July 12th at Fordham University, teams compete across soccer, flag football, volleyball, and track for $8,500 in prize money. 
Our goal with it is to simply bring together competitive athletes to have a bloody great time and meet some cool people like themselves.
Thank you to our sponsors: @user and @user , as well as @user for hosting us!
#AllSportsTournament #NYC #RunItBack</t>
  </si>
  <si>
    <t>SALT is our annual leadership gathering: a chance for Spear leaders to step out of the day-to-day, spend time learning together, and think m</t>
  </si>
  <si>
    <t>https://www.instagram.com/p/DZXiZ95gJ18/</t>
  </si>
  <si>
    <t>SALT is our annual leadership gathering: a chance for Spear leaders to step out of the day-to-day, spend time learning together, and think more deeply about the kind of experience we want to create for our teams, for the people we serve, and for each other.
Over the course of the weekend, our leaders heard from guest speakers, participated in team-building activities, and had time to reflect on big themes such as hospitality, innovation, leadership, and what it means to create consistently exceptional experiences as we grow. This series offers a closer look at that journey through the voices of the leaders who lived it: what stood out to them, what challenged them, and what they’re bringing back to their teams. Over the next few months, we'll be launching a deeper look into each participant's leadership journey at Spear.
Because the value of SALT is not just in the time spent together. It’s in what comes back with us. 
Special thanks to Kateri Virgilio, MS, OTR/L; Ryan Coye, PT, DPT; Austin Afshar, PT, DPT, CSCS; Michael Santo, PT, DPT, TPI-2; and Alyssa Raymond, Regional Care Coordinator.</t>
  </si>
  <si>
    <t xml:space="preserve">Meet Molly Polizotto, PT, DPT, Clinical Director of our new location in Englewood, New Jersey! Molly’s goal is to empower patients to reach </t>
  </si>
  <si>
    <t>https://www.instagram.com/p/DZU9huHD42V/</t>
  </si>
  <si>
    <t>Meet Molly Polizotto, PT, DPT, Clinical Director of our new location in Englewood, New Jersey! Molly’s goal is to empower patients to reach their highest potential by working closely with them and listening to their goals to create a well-rounded treatment plan tailored to their needs.
Come visit Molly and team in NJ, and let's keep moving!</t>
  </si>
  <si>
    <t>Matt and Mike are headed to HYROX NYC as partners, and this is one of the strength moves built into their prep.</t>
  </si>
  <si>
    <t>https://www.instagram.com/p/DZNQQu5FWcZ/</t>
  </si>
  <si>
    <t>Matt and Mike are headed to HYROX NYC as partners, and this is one of the strength moves built into their prep.
Between running, sled work, and lunges, HYROX asks a lot of each leg on its own, which is exactly why this exercise earns a spot on their prehab list. The rear-foot-elevated split squat helps build single-leg strength, balance, and control while challenging the quads, glutes, and hamstrings all at once. It can also help expose side-to-side differences that are easy to miss in bilateral lifts. For HYROX specifically, that matters. This movement trains the kind of lower-body strength and stability that carries over to powerful lunges, stronger sled work, and more efficient running when fatigue starts to set in.
Good luck to Matt and Mike this weekend, and stay tuned for more HYROX tips!</t>
  </si>
  <si>
    <t>Washington D.C.</t>
  </si>
  <si>
    <t>Join @user from #APTQI member @user for a PT myth buster.</t>
  </si>
  <si>
    <t>https://www.instagram.com/p/DZK2N8RBLhx/</t>
  </si>
  <si>
    <t>Join @user from #APTQI member @user for a PT myth buster.
#physicaltherapy #advocacy #mythbuster #interview</t>
  </si>
  <si>
    <t>2026-06-03</t>
  </si>
  <si>
    <t>Meet Ninia Agustin, PT, DPT, creator of Spear's Performance Rehab Cohort for Learning and Engagement (SPARCLE), which specializes in treatin</t>
  </si>
  <si>
    <t>https://www.instagram.com/p/DZIFrRXAPDD/</t>
  </si>
  <si>
    <t>Meet Ninia Agustin, PT, DPT, creator of Spear's Performance Rehab Cohort for Learning and Engagement (SPARCLE), which specializes in treating performing artists.
A performer herself, Ninia understands the grit and passion it takes to make it in New York City's performing arts scene. She brings that same grit and passion to her position here at Spear. Spend the day with Ninia as she tells us more about her journey from stage to treatment room.
"Physical Therapy was where I was able to blend two things that I love: movement and teaching. What if I could support performers in a way that truly understood their demands, their schedules, their artistry, their identities?"
This is Spear Lives Here. Where care goes beyond our clinic walls, and community is at the heart of everything we do. 
Read Ninia's full blog post via the link in bio!</t>
  </si>
  <si>
    <t>Our therapists, Matt and Mike, are headed to HYROX NYC as partners. This is one of the warm-ups helping them get there.</t>
  </si>
  <si>
    <t>https://www.instagram.com/p/DZFhD8iFRNB/</t>
  </si>
  <si>
    <t>Our therapists, Matt and Mike, are headed to HYROX NYC as partners. This is one of the warm-ups helping them get there.
If you’re running, lunging, pushing or pulling a sled, or getting into a deep wall ball, ankle mobility matters.
In this warm-up, Mike Canino, PT, DPT, and Matthew Procopio, PT, DPT, use a light resistance band to help improve ankle dorsiflexion, the motion that allows your knee to move forward over your foot. When that motion is limited, the body often finds other ways to compensate, which can affect everything from squat depth to running mechanics.
The goal here is not to fatigue the area. It is to open up the joint, improve the quality of the movement, and help you feel more efficient going into training. By pairing joint mobilization with active movement, this drill can help improve lower-body mechanics and reduce unnecessary stress on the knees and hips.
Special thanks to @user hosting Spear for a HYROX prehab session! @user</t>
  </si>
  <si>
    <t>Join us for Part One of our Dancer Wellness Series! Presented by The Dancers’ Resource in partnership with @user, this #FreeWorkshop w</t>
  </si>
  <si>
    <t>https://www.instagram.com/p/DZDXQzOmgig/</t>
  </si>
  <si>
    <t>Join us for Part One of our Dancer Wellness Series! Presented by The Dancers’ Resource in partnership with @user, this #FreeWorkshop will provide you with practical tools to build upper body strength and stability, integrate targeted exercises into warm-ups and reduce your risk of injury. RSVP via the Workshops link in our bio or at portal.entertainmentcommunity.org
#LifeInTheArts #Dance #Dancer #Wellness #OnlineWorkshop</t>
  </si>
  <si>
    <t>Did you know that Spear also offers telehealth appointments? Spear Live connects you with the nation’s best physical and occupational therap</t>
  </si>
  <si>
    <t>https://www.instagram.com/p/DZDLNudpf2B/</t>
  </si>
  <si>
    <t>Did you know that Spear also offers telehealth appointments? Spear Live connects you with the nation’s best physical and occupational therapists virtually and allows you to continue your care routine online, wherever you are. Here's a peek at some common household tools you can use during your virtual appointments!
Learn more at spearcenter.com/spear-live and book your appointment by calling 646-518-5554!</t>
  </si>
  <si>
    <t>Good luck to Mike Canino, PT, DPT, and Matt Procopio, PT, DPT, who are participating in Hyrox NYC this week! What makes their partnership wo</t>
  </si>
  <si>
    <t>https://www.instagram.com/p/DY4ovYgk5xz/</t>
  </si>
  <si>
    <t>Good luck to Mike Canino, PT, DPT, and Matt Procopio, PT, DPT, who are participating in Hyrox NYC this week! What makes their partnership work so well? They're just so completely aligned. From burpees to sleds to sandbags, they're level set and seeing eye-to-eye. 
It's officially Hyrox season — stay tuned as Mike &amp; Matt share their warmup tips over the coming weeks!</t>
  </si>
  <si>
    <t>Are you wondering what success looks like at your first physical therapy appointment at Spear? Clinical Director Jonathan Doyle, PT, DPT, CS</t>
  </si>
  <si>
    <t>https://www.instagram.com/p/DY2EIo0ERT-/</t>
  </si>
  <si>
    <t>Are you wondering what success looks like at your first physical therapy appointment at Spear? Clinical Director Jonathan Doyle, PT, DPT, CSCS, walks us through his standards of success at our new Harlem – W 120th St location. Paired with our high standard of clinical excellence, Spear prioritizes instilling confidence in everyone who walks through our doors. Book your first appointment now via the link in our bio!</t>
  </si>
  <si>
    <t>Congratulations to our Faculty Coordinator Genevieve Smith, PT, DPT, OCS, AIB-VRC! She recently earned her EdD in Movement Science from Teac</t>
  </si>
  <si>
    <t>https://www.instagram.com/p/DYztCDaFVpb/</t>
  </si>
  <si>
    <t>Congratulations to our Faculty Coordinator Genevieve Smith, PT, DPT, OCS, AIB-VRC! She recently earned her EdD in Movement Science from Teachers College, Columbia University 🎓
Genevieve's research focused on Motor Learning and Control, with a focus on cognitive motor interference in postural control. During her time at Columbia, Genevieve gained expertise in teaching and learning, clinical inquiry and research, and the biomechanical analysis of human movement.
Genevieve's dissertation thesis, "Sensory Integration and Cognitive Motor Interference in Older Adults with Mild Cognitive Impairment," examined sensory integration and cognitive motor interference of postural control in older adults with and without mild cognitive impairment. APDM wearable sensors were used to collect postural sway data as participants performed static balance tests while performing a dual cognitive task. The results suggest that older adults with mild cognitive impairment use different task-prioritization strategies than cognitively healthy older adults during static balance conditions.
Genevieve says she is especially thankful to her mentors and colleagues at Spear for their consistent support throughout this journey, which made it possible for her to achieve this dream. Congratulations to Genevieve on this huge accomplishment! 🎉</t>
  </si>
  <si>
    <t xml:space="preserve">Spear is so excited to expand our presence in Upper Manhattan! Our new location is conveniently located on Frederick Douglass Boulevard and </t>
  </si>
  <si>
    <t>https://www.instagram.com/p/DYmnYaTD9jg/</t>
  </si>
  <si>
    <t>Spear is so excited to expand our presence in Upper Manhattan! Our new location is conveniently located on Frederick Douglass Boulevard and W120th Street. Clinical Director Jonathan Doyle, PT, DPT, CSCS, is looking forward to becoming a bastion of the Harlem community. We're here not only to help you get back to doing what you love, but also to foster the strong community ties in this vibrant neighborhood. We know this location will become a place where you can come to heal and always find a smiling face! Book your appointment via the link in bio.</t>
  </si>
  <si>
    <t>touro_dpt_ny</t>
  </si>
  <si>
    <t>Investing in future clinicians means investing in the communities they’ll serve.</t>
  </si>
  <si>
    <t>https://www.instagram.com/p/DYkCldaHDtM/</t>
  </si>
  <si>
    <t>Investing in future clinicians means investing in the communities they’ll serve.
In partnership with the Touro Physical Therapy Program, the Spear Scholarship helps students step into their careers with confidence so they can focus on learning, growing, and delivering meaningful care from the very start.
Meet Jackie Albanese, PT, DPT, a 2024 graduate and scholarship recipient:
“My journey into physical therapy was shaped by my own experience as an athlete, recovering from two ACL tears and spending significant time in PT. It was there that I developed an appreciation for a more holistic approach to care, one rooted in movement and treating the whole person.
The Spear Scholarship at Touro helped ease my transition into my career, allowing me to focus on my boards and step confidently into my first role. At Spear, I've found a strong support system through mentorship and colleagues who are invested in my growth.
One of my biggest takeaways so far has been the importance of soft skills: listening, understanding, and connecting with patients beyond their injury. A defining moment came when I helped a patient complete the NYC Marathon after recovering from a long-standing injury. The best part of the job is definitely serving my community and helping people come back stronger.
My advice to students is simple: enjoy the process, stay focused on why you started, and remember who you’re learning for.”
This is what it looks like when opportunity meets purpose.</t>
  </si>
  <si>
    <t>Curious what pelvic floor therapy during pregnancy actually helps with?</t>
  </si>
  <si>
    <t>https://www.instagram.com/p/DYhePMHnLx0/</t>
  </si>
  <si>
    <t>Curious what pelvic floor therapy during pregnancy actually helps with?
Spear therapists Jamie Lief, OTD, OTR/L, PCES, and Kruti Shah, PT, DPT, MS, are hosting a virtual workshop to walk through common symptoms, what’s actually going on in the body, and a few simple ways to better support yourself throughout pregnancy.
Come with questions, leave with answers. Happening TONIGHT at 6pm. Register via QR code or the link in bio.</t>
  </si>
  <si>
    <t>Are you considering booking a telehealth appointment with Spear? Natalie Trubin, PT, DPT, PCES, runs through some commonly asked questions t</t>
  </si>
  <si>
    <t>https://www.instagram.com/p/DYe4_r7E_KP/</t>
  </si>
  <si>
    <t>Are you considering booking a telehealth appointment with Spear? Natalie Trubin, PT, DPT, PCES, runs through some commonly asked questions to prepare you for your appointment! SpearLive connects you with the nation’s top physical and occupational therapists virtually, so you can stay consistent with your care wherever you are. Book your appointment at spearcenter.com/spear-live/</t>
  </si>
  <si>
    <t>Summer travel plans don’t have to interrupt your care 🌞 Telehealth through Spear Live makes it easy to check in with a licensed therapist, k</t>
  </si>
  <si>
    <t>https://www.instagram.com/p/DYXDiM0DoH_/</t>
  </si>
  <si>
    <t>Summer travel plans don’t have to interrupt your care 🌞 Telehealth through Spear Live makes it easy to check in with a licensed therapist, keep up your progress, and stay connected from anywhere. Book your appointment now at spearcenter.com/spear-live</t>
  </si>
  <si>
    <t>Jonathan Doyle, PT, DPT, CSCS, is the Clinical Director of our new Harlem location, and he and his team are incredibly goal-oriented! Whethe</t>
  </si>
  <si>
    <t>https://www.instagram.com/p/DYUl4IImu0w/</t>
  </si>
  <si>
    <t>Jonathan Doyle, PT, DPT, CSCS, is the Clinical Director of our new Harlem location, and he and his team are incredibly goal-oriented! Whether it's something simple like walking down the block or something more complex like getting back to the sports you love, the Harlem team will be by your side, cheering you on every step of the way! Come visit us at 2229 Frederick Douglass Boulevard.</t>
  </si>
  <si>
    <t>Skytop Lodge</t>
  </si>
  <si>
    <t>A few days away from the day-to-day, and a lot to bring back.</t>
  </si>
  <si>
    <t>https://www.instagram.com/p/DYSB20kFfeR/</t>
  </si>
  <si>
    <t>A few days away from the day-to-day, and a lot to bring back.
The Spear Advanced Leadership Training (SALT) brought Spear leaders together to reflect, reconnect, and focus on what it takes to create exceptional experiences as we continue to grow. Across sessions on hospitality and innovation, the conversation kept coming back to one idea: the small moments matter, and strong leadership turns them into something people can truly feel.
We were honored to learn from Byron Halliburton of The Ritz-Carlton Leadership Center and Nick Hedges, CEO of Raintree, whose perspectives challenged us to think differently about service, adaptability, and emerging technologies. Our time away also included a team-building activity with impact beyond Spear, as attendees assembled 18 backpacks for the local Boys &amp; Girls Club.
And we were proud to celebrate Jon Rogers as this year’s Founder’s Award recipient. The award recognizes a leader who reflects Spear’s core values and the vision, spirit, and commitment that continue to shape who we are and where we’re headed.
SALT is never just about the time spent together. It’s about what comes back with us: new ideas, stronger connections, and a renewed commitment to our teams and the experience we create across Spear. Stay tuned in the coming weeks as we share a new video series featuring SALT attendees and the lessons they’re bringing back to their teams.
Let's keep moving forward, together!</t>
  </si>
  <si>
    <t>Dan has an aversion to green towels and will never use one...keep watching to find out why!</t>
  </si>
  <si>
    <t>https://www.instagram.com/p/DYPcNcDAWkt/</t>
  </si>
  <si>
    <t>Dan has an aversion to green towels and will never use one...keep watching to find out why!
Sometimes the early stories are the ones that stay with you. Dan Rootenberg, our CEO and Co-Founder, shares one of those stories from Spear’s earliest days, when the business was operating out of rented gym space and learning, in real time, what kind of company it wanted to be. It’s funny, a little painful, and also a real reminder that some of the clearest lessons come from experiencing exactly what you do not want to build. As Dan so aptly put it, "It was the biggest learning experience of my life."
The green towel story is a good one, but the full conversation is even better. Catch Dan on Raintree's Therapy Matters podcast via the link in our bio.</t>
  </si>
  <si>
    <t>conquerpickleball, brooklynpickleball.team, spearptnyc</t>
  </si>
  <si>
    <t>We’ve officially teamed up with the MLP’s Brooklyn Pickleball Team, Joola, and Spear to launch what we believe is the best Public School You</t>
  </si>
  <si>
    <t>https://www.instagram.com/p/DYN1Iz_AJt6/</t>
  </si>
  <si>
    <t>We’ve officially teamed up with the MLP’s Brooklyn Pickleball Team, Joola, and Spear to launch what we believe is the best Public School Youth Pickleball program in the country.
The energy on the courts has been incredible, and seeing these kids pick up a paddle for the first time is exactly why we do this. This isn’t just about sports; it’s about community, accessibility, and the future of the game.
Here’s a look at how it’s going so far. Stay tuned for more!
#Pickleball #Brooklyn #YouthSports #CommunityImpact #MLP #Joola #conquerkidspickleball</t>
  </si>
  <si>
    <t>What can you expect at our new Harlem – W 120th St location? Clinical Director Jonathan Doyle, PT, DPT, CSCS, welcomes us into this new spac</t>
  </si>
  <si>
    <t>https://www.instagram.com/p/DX__ivwFVSM/</t>
  </si>
  <si>
    <t>What can you expect at our new Harlem – W 120th St location? Clinical Director Jonathan Doyle, PT, DPT, CSCS, welcomes us into this new space with the compassion and clinical excellence for which Spear is known. We're so excited to serve the Harlem community. Book your appointment now via the link in our bio!</t>
  </si>
  <si>
    <t>East Village</t>
  </si>
  <si>
    <t>Our East Village Ribbon Cutting was a whole vibe with Therapy Technician (and DJ) Josue Lora spinning tunes 🎧</t>
  </si>
  <si>
    <t>https://www.instagram.com/p/DX9eIJCFfk3/</t>
  </si>
  <si>
    <t>Our East Village Ribbon Cutting was a whole vibe with Therapy Technician (and DJ) Josue Lora spinning tunes 🎧
Special thanks to the friends and family who came to support us! Congratulations to Clinical Director Marina Abbatiello, PT, DPT, Camryn Gessner, PT, DPT, and the entire Village squad.</t>
  </si>
  <si>
    <t>2026-05-04</t>
  </si>
  <si>
    <t>Kavita Sarathy, PT, DPT, and Meghan Cheung, PT, DPT, hosted "Cross-Train,Recover, Return Stronger" to help students at PACE University's San</t>
  </si>
  <si>
    <t>https://www.instagram.com/p/DX613Khn-mq/</t>
  </si>
  <si>
    <t>Kavita Sarathy, PT, DPT, and Meghan Cheung, PT, DPT, hosted "Cross-Train,Recover, Return Stronger" to help students at PACE University's Sands School of Performing Arts improve technique and overall fitness during summer break. Students learned programs to build strength, endurance, and flexibility, and to develop practical injury-prevention strategies that complement their dance training routines. 
Special shoutout to @user, @user, and @user 🩰</t>
  </si>
  <si>
    <t>Come check out our location in Harlem at 2229 Frederick Douglass Boulevard! Clinical Director Jon Doyle, PT, DPT, CSCS, takes us on a tour o</t>
  </si>
  <si>
    <t>https://www.instagram.com/p/DXzHcZRgH0y/</t>
  </si>
  <si>
    <t>Come check out our location in Harlem at 2229 Frederick Douglass Boulevard! Clinical Director Jon Doyle, PT, DPT, CSCS, takes us on a tour of this brand new, state-of-the-art space. Jon &amp; team are excited to bring Spear's expert physical therapy to the Harlem community. We're now open and accepting appointments. Come by, say hi, and let's keep moving!</t>
  </si>
  <si>
    <t>Happy Occupational Therapy Month! To close out our series, Kendra Barlotta, MS, OTR/L, CHT, walks through a hands-on treatment approach, dem</t>
  </si>
  <si>
    <t>https://www.instagram.com/p/DXwizdZnWlU/</t>
  </si>
  <si>
    <t>Happy Occupational Therapy Month! To close out our series, Kendra Barlotta, MS, OTR/L, CHT, walks through a hands-on treatment approach, demonstrating how manual therapy can help reduce stiffness, improve mobility, and support recovery.</t>
  </si>
  <si>
    <t>2026-04-29</t>
  </si>
  <si>
    <t>Happy Autism Awareness Month! Pediatric specialist Riya Bhatia, PT, MS, breaks down how PT can help children who have been diagnosed with sp</t>
  </si>
  <si>
    <t>https://www.instagram.com/p/DXt9tlACQRU/</t>
  </si>
  <si>
    <t>Happy Autism Awareness Month! Pediatric specialist Riya Bhatia, PT, MS, breaks down how PT can help children who have been diagnosed with spectrum disorders. Spear's pediatric therapists are dedicated to helping children of all ages meet milestones and advance through play-based, functional activities. You can find Riya at 95 Chambers Street, but we offer pediatric and adolescent physical and occupational therapy across locations. Book an appointment by visiting the link in our bio!</t>
  </si>
  <si>
    <t>pelvichealthbyjamie</t>
  </si>
  <si>
    <t>A lot changes during pregnancy, and not everything you’re feeling is something you just have to "push through."</t>
  </si>
  <si>
    <t>https://www.instagram.com/p/DXrZH4SH3EX/</t>
  </si>
  <si>
    <t>A lot changes during pregnancy, and not everything you’re feeling is something you just have to "push through."
Join us on May 19 for a virtual workshop on pelvic health during pregnancy led by Spear therapists Jamie Lief, OTD, OTR/L, PCES, and Kruti Shah, PT, DPT, MS. We’ll cover how pregnancy affects the pelvic floor, common symptoms like leaking, pelvic pain, pressure, and constipation, plus simple ways to better support your body throughout pregnancy and prepare for birth.
Whether you’re currently pregnant, planning pregnancy, supporting a partner, or just want to learn more, this session is designed to be approachable, informative, and practical.
May 19th | 6pm | Register via the link in bio</t>
  </si>
  <si>
    <t>Best of luck to all those sitting for the National Physical Therapy Examination this week! Your hard work, dedication, and passion for the f</t>
  </si>
  <si>
    <t>https://www.instagram.com/p/DXo0M9lH_tL/</t>
  </si>
  <si>
    <t>Best of luck to all those sitting for the National Physical Therapy Examination this week! Your hard work, dedication, and passion for the field have brought you to this moment. Everyone at Spear is cheering you on as you take this next big step in your journey!</t>
  </si>
  <si>
    <t>April is Occupational Therapy Month, so we’re breaking down some of the treatments you might not expect.</t>
  </si>
  <si>
    <t>https://www.instagram.com/p/DXehOi5gne2/</t>
  </si>
  <si>
    <t>April is Occupational Therapy Month, so we’re breaking down some of the treatments you might not expect.
Why paraffin wax instead of a standard heat pack? Nisha Iyer, MS, OTR/L, explains how this treatment works, why OTs use it, and how it helps improve mobility and reduce hand stiffness.</t>
  </si>
  <si>
    <t>conquerpickleball, conquerkidspickleball</t>
  </si>
  <si>
    <t>We had such a fun time partnering with Conquer Kids, the official youth program of Major League Pickleball’s Brooklyn Pickleball Team, at Ea</t>
  </si>
  <si>
    <t>https://www.instagram.com/p/DXcLrPak7SL/</t>
  </si>
  <si>
    <t>We had such a fun time partnering with Conquer Kids, the official youth program of Major League Pickleball’s Brooklyn Pickleball Team, at East Side Community School! Spear pediatric therapists Jason Kang, PT, DPT, Riya Shah PT, DPT, AIB-VR/CON, and Danielle Freund, PT, DPT were onsite helping kids warm up, cool down, and play safely.
Built to introduce young athletes to the game in a way that supports confidence, coordination, and community, Conquer Kids is doing something really special, and we're proud to be part of it. The Spear team even got a few rounds in, though to be clear, the kids had us beat.
Let's keep dinking!</t>
  </si>
  <si>
    <t>April is Occupational Therapy Month, and we’re sharing simple ways to keep you doing the things you love.</t>
  </si>
  <si>
    <t>https://www.instagram.com/p/DXZXjFvAchF/</t>
  </si>
  <si>
    <t>April is Occupational Therapy Month, and we’re sharing simple ways to keep you doing the things you love.
Love knitting, but dealing with thumb pain? Ariel Scheintaub, MSOT, OTR/L, shares three simple exercises to help manage discomfort from carpometacarpal arthritis so you can keep doing what you enjoy with less pain.</t>
  </si>
  <si>
    <t>A little Occupational Therapy…ASMR.</t>
  </si>
  <si>
    <t>https://www.instagram.com/p/DXMfk8nDNn7/</t>
  </si>
  <si>
    <t>A little Occupational Therapy…ASMR.
Nisha Iyer, MS, OTR/L, brings together some of the most satisfying sounds from everyday OT tools while showing just a few of the ways we help restore movement and function.
Turn the volume on for this one. Happy Occupational Therapy Month!</t>
  </si>
  <si>
    <t>A strong start can shape everything that comes next.</t>
  </si>
  <si>
    <t>https://www.instagram.com/p/DXJ96s7Exbj/</t>
  </si>
  <si>
    <t>A strong start can shape everything that comes next.
In partnership with the Touro Physical Therapy Program, the Spear Scholarship was created to support future physical therapists as they take the first step into their careers, easing financial pressure and opening the door to meaningful opportunities from day one.
Meet Jan Ortega, PT, DPT, a 2024 graduate and scholarship recipient who’s already making an impact at Spear:
“My path to physical therapy started on the court. As a three-season athlete in high school, I found myself sidelined by a basketball injury and spending time in the trainer’s room, an experience that sparked my interest in sports medicine and ultimately led me to PT.
Receiving the Spear Scholarship at Touro gave me a strong start, allowing me to step into a role with growth potential right out of school. Since joining Spear, I've immersed myself in opportunities to grow, from participating in the Spear Future Leader Program to supporting new grad workshops as a teaching assistant and becoming a clinical instructor.
Along the way, I've learned that the best care starts with listening; patients will often tell you exactly what they need if you’re paying attention. One moment that stands out is a patient who shared that I was her favorite PT, helping her believe she could do things she once thought were out of reach. The most rewarding part of the job is seeing that shift in confidence and the smile that comes with it.
My advice to students: get comfort</t>
  </si>
  <si>
    <t>2026-04-14</t>
  </si>
  <si>
    <t>April is Occupational Therapy Month, so we’re giving you a closer look at the tools behind the care.</t>
  </si>
  <si>
    <t>https://www.instagram.com/p/DXHV_7gjVJY/</t>
  </si>
  <si>
    <t>April is Occupational Therapy Month, so we’re giving you a closer look at the tools behind the care.
What does an OT have stashed at their station? Elias Fraija, MS, OTR/L, gives a peek inside his bag and walks through some of his go-to items for helping people improve strength, coordination, and function.
Some tools might look simple, but used with purpose, they can make a big difference.</t>
  </si>
  <si>
    <t>Jersey City, New Jersey</t>
  </si>
  <si>
    <t>As a proud partner of the 5K for Pizza: Jersey City, Spear Physical Therapy is here to keep you moving strong— from start line to slice time</t>
  </si>
  <si>
    <t>https://www.instagram.com/p/DW93M7sAdXN/</t>
  </si>
  <si>
    <t>As a proud partner of the 5K for Pizza: Jersey City, Spear Physical Therapy is here to keep you moving strong— from start line to slice time 🏃‍♂️🍕
With 70+ locations and expert therapists across the tri-state, they’ve got you covered.
Let’s crush the miles and celebrate with pizza!
#5KforPizza #SpearPT #MoveForwardFeelBetter</t>
  </si>
  <si>
    <t>April is Occupational Therapy Month, so we're highlighting the detail and precision behind every part of the process.</t>
  </si>
  <si>
    <t>https://www.instagram.com/p/DW6eCaSCuw7/</t>
  </si>
  <si>
    <t>April is Occupational Therapy Month, so we're highlighting the detail and precision behind every part of the process.
If you’ve been told you need a splint, here’s what that actually looks like. Kendra Barlotta, MS, OTR/L, CHT, takes you behind the scenes of how custom splints are made at Spear, from molding to fit to making sure it supports exactly what you need.
Designed for you, your movement, and your recovery.</t>
  </si>
  <si>
    <t>You don't need a man...you just need PT at Spear.</t>
  </si>
  <si>
    <t>https://www.instagram.com/p/DW35Bz3igm2/</t>
  </si>
  <si>
    <t>You don't need a man...you just need PT at Spear.
Credit to Haley Williams, PT, DPT, CSCS &amp; Lexi Burski-Edwards, PT, DPT, CSCS of @user</t>
  </si>
  <si>
    <t>April is Occupational Therapy Month, and we’re taking you inside the work that goes into helping people move better every day.</t>
  </si>
  <si>
    <t>https://www.instagram.com/p/DW1UZeTE99V/</t>
  </si>
  <si>
    <t>April is Occupational Therapy Month, and we’re taking you inside the work that goes into helping people move better every day.
Ever wonder what all those tools are actually for? Kieran Morrissey, MS, OTR/L, CHT, TPI L1, walks through some of the most common tools used in OT and how each one plays a role in building strength, improving mobility, and helping you get back to doing what you love.</t>
  </si>
  <si>
    <t>Our Westchester and Connecticut teams have been everywhere this month, bringing the energy, care, and commitment to every corner of the comm</t>
  </si>
  <si>
    <t>https://www.instagram.com/p/DWyyzyiIBCB/</t>
  </si>
  <si>
    <t>Our Westchester and Connecticut teams have been everywhere this month, bringing the energy, care, and commitment to every corner of the community. Our PTs, OTs, care coordinators, techs, and students are all jumping in, together, to make these amazing events happen.
🚴 Cycle for Survival in Armonk — our first year showing up for an incredible cause (and yes, it was a party on the bikes!!)
⚾ Dobbs Ferry Little League screens — helping young athletes stay healthy and building real relationships in the community
🧠 Back to the Beat in Croton — Purvi Pandya, PT, DPT, leading her first pelvic health workshop and absolutely crushing it
🎓 Pace Wellness Fair — connecting with students and sharing tools they can actually use
🏃 Sleepy Hollow Half Marathon — despite freezing temps, high energy Spear is last table standing to support runners when they needed it most
Plus Girl Scout events, physician lectures, and plenty happening behind the scenes to make it all come together. This is the work that goes beyond the walls of our locations, and it's what makes our team so incredible.</t>
  </si>
  <si>
    <t>2026-04-03</t>
  </si>
  <si>
    <t>April is Occupational Therapy Month, which means we're spotlighting the work that helps people get back to what matters most.</t>
  </si>
  <si>
    <t>https://www.instagram.com/p/DWrBXFACiaK/</t>
  </si>
  <si>
    <t>April is Occupational Therapy Month, which means we're spotlighting the work that helps people get back to what matters most.
So what exactly is occupational therapy? Nisha Iyer, MS, OTR/L, breaks it down. OT is all about helping you get back to the everyday things that matter most, from getting dressed to getting back to your hobby. At Spear, our occupational therapists specialize in the hand, wrist, elbow, and shoulder, so the movements you rely on most are in expert hands.
Because when those small, daily tasks feel easier, everything else starts to follow.</t>
  </si>
  <si>
    <t>Introducing the Spear Nap Lab™</t>
  </si>
  <si>
    <t>https://www.instagram.com/p/DWl3k5bDdGr/</t>
  </si>
  <si>
    <t>Introducing the Spear Nap Lab™ 
For those of us whose naps aren't quite hitting the way they should, we're here to help. From proper positioning to optimal "do not disturb" conditions, our team is taking recovery to the next level, one perfectly executed nap at a time.
Because sometimes the best way to move better...is to not move at all.
(Nap results may vary. Happy April Fools' Day.)</t>
  </si>
  <si>
    <t>Spear is No. 66 on this year’s #IncRegionals Northeast list! This marks the tenth time Spear has been on an @user list.</t>
  </si>
  <si>
    <t>https://www.instagram.com/p/DWjSnP3lnRm/</t>
  </si>
  <si>
    <t>Spear is No. 66 on this year’s #IncRegionals Northeast list! This marks the tenth time Spear has been on an @user list.
“We’re honored to be recognized again by Inc.,” said Dan Rootenberg, Co-Founder and CEO. “This milestone reflects the dedication of our team and the strength of the culture we’ve built together. Our growth has always been driven by investing in our people and staying focused on delivering an exceptional experience for everyone we serve.” 
We’re grateful for this honor and excited for what’s ahead!</t>
  </si>
  <si>
    <t>QBK Sports</t>
  </si>
  <si>
    <t>qbksports</t>
  </si>
  <si>
    <t>Out on the court with @user helping their volleyball players stay a Bump-Set-Spike ahead.</t>
  </si>
  <si>
    <t>https://www.instagram.com/p/DWg7OFqFdc7/</t>
  </si>
  <si>
    <t>Out on the court with @user helping their volleyball players stay a Bump-Set-Spike ahead.
Our team led injury screenings focused on movement, strength, and the small things that make a big difference over the course of a season. A few quick adjustments now can mean fewer setbacks later.
Always a great day working with athletes who care about how they move and putting them in a better position to keep doing what they love!
Our next pop-up at QBK is 4/13 — sign up now for a free consultation!</t>
  </si>
  <si>
    <t>2026-03-29</t>
  </si>
  <si>
    <t>spearptnyc, dbelitefitness</t>
  </si>
  <si>
    <t>What an amazing start to the week!! This deep core Pilates class was phenomenal and I’m so grateful to have been part of it! All participant</t>
  </si>
  <si>
    <t>https://www.instagram.com/p/DWeL6dejhT3/</t>
  </si>
  <si>
    <t>What an amazing start to the week!! This deep core Pilates class was phenomenal and I’m so grateful to have been part of it! All participants were educated on the deep core muscle called the Transverse Abdominis and how to access it and we immediately integrated it into the amazing core class lead by Menukhah. She lead an incredible (and tough!!) class and we all left feeling amazing ❤️❤️ 
Thank you to @user for the best goodie bags and shirts! 
Thank you to @user for hosting this incredible class! 
🤍❤️🖤🤍❤️🖤🤍❤️🖤🤍❤️🖤🤍❤️🖤</t>
  </si>
  <si>
    <t>2026-03-27</t>
  </si>
  <si>
    <t>We’re moving just around the corner and onto one of the most iconic streets in the world.</t>
  </si>
  <si>
    <t>https://www.instagram.com/p/DWY_h9UgJtF/</t>
  </si>
  <si>
    <t>We’re moving just around the corner and onto one of the most iconic streets in the world. 
Spear Physical Therapy’s Financial District location has relocated from 30 Broad Street to 14 Wall Street (inside Equinox), and we’re excited to welcome the neighborhood into this space. 
Right in the heart of Wall Street, our team is here to help the FiDi community stay active and keep moving through busy New York days. Join directors Marivi Lao, PT, DPT, and Kim Pyle, PT, DPT, for a quick walk to our new home.
Schedule an appointment today!
14 Wall Street (inside Equinox) 
646-790-7454 
wallst@user 
Let’s keep moving, FiDi!</t>
  </si>
  <si>
    <t>https://www.instagram.com/p/DWT2BSqlSGU/</t>
  </si>
  <si>
    <t>The Spear Future Leader Program (SFLP) brings together team members from across the organization who are eager to grow and deepen their impact at Spear and beyond. 
During Module One of SFLP, we spoke with leaders across Spear. They shared the moments that have defined their journeys so far, what they’ve learned along the way, and the advice they’d pass on to others stepping into leadership.
They taught us that leadership is shaped over time through experience, challenges, and the people around you. Real stories and a look at what it takes to grow into the kind of leader others can rely on.</t>
  </si>
  <si>
    <t>dblockdpt, spearptnyc</t>
  </si>
  <si>
    <t>https://www.instagram.com/p/DWPemtkEqIm9EGjLThT8qWN0qiNxZZRpwXXm7M0/</t>
  </si>
  <si>
    <t>It was a true honor to guest lecture at Touro University with my colleague David Block for their third year Physical Therapy students today! As they prepare to step into their careers, we discussed leadership and the importance of finding a company culture that supports their individual goals. We also talked about the importance of leadership being a fundamental part of patient care. I’ve been in the industry over 10 years now and being able to pass on this insight was a full circle moment. It’s always amazing to see the brilliant minds entering the industry and I can’t wait to see what they bring to the profession!</t>
  </si>
  <si>
    <t>We found Dan and Dave in the 90s…and some things haven’t changed.</t>
  </si>
  <si>
    <t>https://www.instagram.com/p/DWOsX-tljPz/</t>
  </si>
  <si>
    <t>We found Dan and Dave in the 90s…and some things haven’t changed.
On March 22, 1999, they opened the doors to Spear in Midtown East with one location, one vision, and one first patient: Vito. They set out to build a practice rooted in care, consistency, and a genuine connection with every person who walked through the door.
What started as a single location has grown across the tri-state, but that foundation is still what drives us today. The relationships, the pride in the work, and the commitment to showing up for people every day. 
To everyone who has been part of the journey — thank you. You’ve helped shape Spear into what it is today.
27 years later, and we’re still moving forward. Happy Birthday, Spear!</t>
  </si>
  <si>
    <t>leahdpt, spearptnyc</t>
  </si>
  <si>
    <t>Deep Core + Pelvic Floor workshop with Menukhah Yaghoubzar &amp; Leah Klavan, PT, DPT 🤍</t>
  </si>
  <si>
    <t>https://www.instagram.com/p/DWEonmbDFY-/</t>
  </si>
  <si>
    <t>Deep Core + Pelvic Floor workshop with Menukhah Yaghoubzar &amp; Leah Klavan, PT, DPT 🤍
📅 Sunday, March 29 · 8:30 AM
📍 The Core, 418 Cedar Lane, Teaneck NJ
📞 Reserve your spot: 201-250-6575
All levels welcome · Pre &amp; postnatal friendly
Spear swag bags for all attendees! 🎁
Women only 🙌
#Pilates #PelvicFloor #DeepCore #WomensWellness #TeaneckNJ</t>
  </si>
  <si>
    <t>Back pain looks different for everyone, and the path to feeling better isn't one-size-fits-all.</t>
  </si>
  <si>
    <t>https://www.instagram.com/p/DV_PfhkFuZl/</t>
  </si>
  <si>
    <t>Back pain looks different for everyone, and the path to feeling better isn't one-size-fits-all.
We're proud to see our very own William Klein, PT, DPT, featured in @user, sharing thoughtful guidance on how movement and patience can help people feel better, understand their bodies, and manage back pain.
“Back pain is the result of factors that are biological, biomechanical, psychological, and social in nature,” Will explains. “Because of that, there’s no single exercise or posture that works for everyone 100 percent of the time.”
Instead, he suggests something simple but powerful: movement. “Encouraging gentle movement to what someone can tolerate — and progressing from there — informs a lot of my practice as both a PT and a yoga instructor.” 
Tap the link in our bio to read the full article and explore Will’s recommended poses for easing back pain.</t>
  </si>
  <si>
    <t>Meet Kendra Barlotta, MS, OTR/L, CHT, the Director of Hand Therapy at Spear!</t>
  </si>
  <si>
    <t>https://www.instagram.com/p/DV8qzI-Fjug/</t>
  </si>
  <si>
    <t>Meet Kendra Barlotta, MS, OTR/L, CHT, the Director of Hand Therapy at Spear!
"When I first entered the field of hand therapy, I knew I wanted to help people. What I didn’t expect was how this specialty would shape my passion, purpose, and professionalism. The hand is complex and essential to nearly everything we do, and being trusted with its recovery is both humbling and motivating. This profession demands excellence: a high level of clinical reasoning, close collaboration with surgeons, and the constant evolution of evidence-based practice.
I'm grateful to be part of a specialty that challenges me daily and fuels my passion, and even more grateful to work with an amazing team of hand therapists at Spear. To my fellow hand therapists and rehabilitation professionals, thank you for raising the standard and inspiring growth.
For those interested in pursuing hand therapy, I encourage you to lean in, seek mentorship, and be curious. Embrace the complexity of this specialty. It will challenge you, but it will also reward you in ways you can't fully appreciate until you're in it."</t>
  </si>
  <si>
    <t>2026-03-13</t>
  </si>
  <si>
    <t>What makes Jackson Heights the right place for this location? For Johanna Sumaria, PT, it’s the people. This neighborhood is defined by conn</t>
  </si>
  <si>
    <t>https://www.instagram.com/p/DV08mmDFtIV/</t>
  </si>
  <si>
    <t>What makes Jackson Heights the right place for this location? For Johanna Sumaria, PT, it’s the people. This neighborhood is defined by connection and culture. Creating a welcoming, community-centered space here was always the priority. Book your appointment and come visit our newest location at 3559 82nd Street!</t>
  </si>
  <si>
    <t>2026-03-11</t>
  </si>
  <si>
    <t>Jersey City in three words? Nour Aly, PT, DPT, sums it up perfectly! A place with NYC energy, its own identity, and a sense of community tha</t>
  </si>
  <si>
    <t>https://www.instagram.com/p/DVvzBD1k-tM/</t>
  </si>
  <si>
    <t>Jersey City in three words? Nour Aly, PT, DPT, sums it up perfectly! A place with NYC energy, its own identity, and a sense of community that is entirely unique. Spear is proud to be part of it. Make your appointment via the link in our bio and come visit us at 128 Bay Street.</t>
  </si>
  <si>
    <t>Financial District, Manhattan</t>
  </si>
  <si>
    <t>Such a great turnout at @user Financial District open house last weekend! The Spear team was thrilled to be there celebrating t</t>
  </si>
  <si>
    <t>https://www.instagram.com/p/DVtNzSjDqYq/</t>
  </si>
  <si>
    <t>Such a great turnout at @user Financial District open house last weekend! The Spear team was thrilled to be there celebrating the launch of AC's new space and connecting with their incredible community.
Mike Canino, PT, DPT, Ryan Tierney, PT, DPT, and Kim Pyle, PT, DPT were on site supporting the event, guiding athletes through recovery, movement, and everything that helps them stay strong and perform at their best.
We’ve loved partnering with the Athletic Clubs community over the years, and this new FiDi space just means more chances to do it. Keep an eye out for Spear at upcoming AC events 👀 We’ll be there to keep you moving!</t>
  </si>
  <si>
    <t>Washington, D.C.</t>
  </si>
  <si>
    <t>This is advocacy in action.</t>
  </si>
  <si>
    <t>https://www.instagram.com/p/DVrYt4eE9ig/</t>
  </si>
  <si>
    <t>This is advocacy in action.
Last week, several members of the Spear team traveled to Capitol Hill alongside colleagues from across the profession through the Alliance for Physical Therapy Quality and Innovation (@user) to advocate for the SAFE Act (Stopping Addiction and Falls for the Elderly Act).
The legislation would allow Medicare beneficiaries to receive a fall risk assessment from a physical or occupational therapist as part of their annual wellness visit. This is an important step toward preventing injuries, maintaining independence, and improving quality of life for older adults. 
For Sebastian Altomarino, PT, DPT, the moment carried a special meaning. "I remember my PT school interview like it was yesterday,” he shared. “When asked what other career path I would have chosen, I said public advocacy in healthcare. Fast forward a decade, and advocating for my community alongside my peers is nothing short of a dream come true.” 
Opportunities like this reflect something we believe deeply at Spear: our responsibility to the profession extends beyond the care we provide every day. It also means helping shape policies that support better access to care and healthier communities. 
We encourage you to also make your voices heard. It takes less than a minute to reach out to your lawmakers and encourage them to support the SAFE Act. The more advocates they hear from, the stronger our voice becomes. Click the link in our bio to take action.
Thank you to Joe Costello, PT, D</t>
  </si>
  <si>
    <t>Travers Park brings the community together, but the beauty of Jackson Heights is that every block has something to offer, no matter the seas</t>
  </si>
  <si>
    <t>https://www.instagram.com/p/DVqpaqcFCWz/</t>
  </si>
  <si>
    <t>Travers Park brings the community together, but the beauty of Jackson Heights is that every block has something to offer, no matter the season. As Johanna Sumaria, PT, says, it's a neighborhood made for connection and slowing down enough to take it all in. While you're here, stop by our newest location at 3559 82nd Street!</t>
  </si>
  <si>
    <t>professionalphysicaltherapy</t>
  </si>
  <si>
    <t>Wareham, Massachusetts</t>
  </si>
  <si>
    <t>We’re excited to be part of the New England Laborers Health Fair!</t>
  </si>
  <si>
    <t>https://www.instagram.com/p/DebtSMoR0ml/</t>
  </si>
  <si>
    <t>We’re excited to be part of the New England Laborers Health Fair!
Professional Physical Therapy will be there to connect with local laborers, share helpful tips for staying healthy, strong, and injury-free, and show how physical therapy can help you keep moving and feeling your best.
📅 Saturday, October 17 | 9 AM–12 PM
📍 50 Rosebrook Place 1, Wareham, MA 02571
Stop by our table, meet the team, and say hello! We look forward to seeing you there. 👋
#proPT #warehamma #physicaltherapy #laborers #healthfair</t>
  </si>
  <si>
    <t>South Plainfield, New Jersey</t>
  </si>
  <si>
    <t xml:space="preserve">Proud to have had Kirsten Rudy, Clinical Director of our South Plainfield office, representing Professional Physical Therapy at the Mayor’s </t>
  </si>
  <si>
    <t>https://www.instagram.com/p/DeaA25XvI4Y/</t>
  </si>
  <si>
    <t>Proud to have had Kirsten Rudy, Clinical Director of our South Plainfield office, representing Professional Physical Therapy at the Mayor’s Wellness Fair this weekend! 💙
We love connecting with our community, promoting healthy lifestyles, and helping people stay active and well. Thank you, Kirsten, for being a great ambassador for our team! 💪
#ProfessionalPhysicalTherapy #CommunityWellness #SouthPlainfieldNJ #PhysicalTherapy #HealthyLiving</t>
  </si>
  <si>
    <t>Wilton, Connecticut</t>
  </si>
  <si>
    <t>Blood Flow Restriction (BFR) Training is available at Professional Physical Therapy | Wilton! 💙</t>
  </si>
  <si>
    <t>https://www.instagram.com/p/DeZ20EGxMJE/</t>
  </si>
  <si>
    <t>Blood Flow Restriction (BFR) Training is available at Professional Physical Therapy | Wilton! 💙
BFR allows you to build strength using lighter loads, making it a valuable tool during recovery from injury or surgery.
Benefits may include:
✔️ Build strength
✔️ Reduce muscle loss
✔️ Improve muscle activation
✔️ Safely progress your recovery
Led by Clinical Director &amp; Partner Aleko Petridis, DPT.
📍 88 Danbury Road | Suite 2G, 3rd Floor | Wilton, CT
📞 475-832-8344
Contact our Wilton team to learn if BFR is right for you!
#propt #physicaltherapy #bfrt #strength #wiltonct</t>
  </si>
  <si>
    <t>Bronx New York</t>
  </si>
  <si>
    <t>Not the Monday blues… just the Bronx team looking good in blue 💙😎</t>
  </si>
  <si>
    <t>https://www.instagram.com/p/DeZuudWRd22/</t>
  </si>
  <si>
    <t>Not the Monday blues… just the Bronx team looking good in blue 💙😎
#proPT #mondayblues #mondayvibes #physicaltherapy #bronx</t>
  </si>
  <si>
    <t>Merrick, New York</t>
  </si>
  <si>
    <t>Gloves required at work? No problem. 🔧🧤</t>
  </si>
  <si>
    <t>https://www.instagram.com/p/DeZWECdRtT_/</t>
  </si>
  <si>
    <t>Gloves required at work? No problem. 🔧🧤
For this patient with a sagittal band injury, our Hand Therapy team in Merrick created a custom-molded yoke splint designed to fit comfortably under work gloves. 
The result? Support for healing while allowing the patient to continue performing daily work activities.
Personalized care, designed to fit your life—not the other way around. 💙
Ask your doctor or Hand Therapist if custom splinting may be right for your recovery.
#proPT #handtherapy #merrick #longisland #splint</t>
  </si>
  <si>
    <t>Denville, New Jersey</t>
  </si>
  <si>
    <t>🧹✨ Grab your broomsticks and join us! 🧙‍♀️💗</t>
  </si>
  <si>
    <t>https://www.instagram.com/p/DeZUAd3xixv/</t>
  </si>
  <si>
    <t>🧹✨ Grab your broomsticks and join us! 🧙‍♀️💗
Professional PT is brewing up some fun at Pink Witches Night Out! Stop by and say hello to our team as we come together for a night of community, fun, and an important cause. 🎀
📍 Downtown Denville, NJ
🗓️ Friday, October 16
⏰ 5:30–10 PM
See you there, witches!
#proPT #denville #newjersey #physicaltherapy #witchesnightout</t>
  </si>
  <si>
    <t>professionalphysicaltherapy, lp_dpt</t>
  </si>
  <si>
    <t>Continuing our celebration for physical therapy month here in Dyker Heights, next up is our Clinical Director, Lisa Picone, DPT! 🎉 Lisa spec</t>
  </si>
  <si>
    <t>https://www.instagram.com/p/DeZPOxxBpZs/</t>
  </si>
  <si>
    <t>Continuing our celebration for physical therapy month here in Dyker Heights, next up is our Clinical Director, Lisa Picone, DPT! 🎉 Lisa specializes in LSVT and vestibular rehabilitation, helping patients improve their mobility, balance, and confidence every day.
When she’s not helping patients reach their goals, she’s chasing one of her own — training for the TCS NYC Marathon! 🗽🏅
Help us celebrate Lisa this Physical Therapy Month and cheer her on as she takes on 26.2 miles! 💙👏</t>
  </si>
  <si>
    <t>2026-10-10</t>
  </si>
  <si>
    <t>professionalphysicaltherapy, kristin_westover_pt</t>
  </si>
  <si>
    <t>Clark tries the Balloon Challenge, safe to say no one went home early after their first round 🤣🤣🎈💙 @user #professiona</t>
  </si>
  <si>
    <t>https://www.instagram.com/p/DeUvDlqxBBC/</t>
  </si>
  <si>
    <t>Clark tries the Balloon Challenge, safe to say no one went home early after their first round 🤣🤣🎈💙 @user #professionalphysicaltherapy</t>
  </si>
  <si>
    <t>professionalphysicaltherapy, physicallysally</t>
  </si>
  <si>
    <t>Spooky Season in Bridgewater 👻</t>
  </si>
  <si>
    <t>https://www.instagram.com/p/DeS5fh7ib_J/</t>
  </si>
  <si>
    <t>Spooky Season in Bridgewater 👻
📍  475 N Bridge St, Bridgewater, NJ 08807
📞 (908)488-0546
#handtherapy #physicaltherapy #occupationaltherapy #fallvibes</t>
  </si>
  <si>
    <t>Hauppauge, New York</t>
  </si>
  <si>
    <t>Allow us to introduce Ash &amp; James 🎤😜</t>
  </si>
  <si>
    <t>https://www.instagram.com/p/DeSMEKWTpEc/</t>
  </si>
  <si>
    <t>Allow us to introduce Ash &amp; James 🎤😜
AI Duo Rap Trend 
.
.
#proPT #hauppauge #physicaltherapy #ai #trend</t>
  </si>
  <si>
    <t>Professional Physical Therapy</t>
  </si>
  <si>
    <t>POV: you came for hand therapy… and stayed for the coffee bar ☕😂✋🏼</t>
  </si>
  <si>
    <t>https://www.instagram.com/p/DeSEkW0JY-K/</t>
  </si>
  <si>
    <t>POV: you came for hand therapy… and stayed for the coffee bar ☕😂✋🏼
We take your hands seriously. 
Ourselves? Not always. 😉
👇 Tag someone who needs to see what hand therapy REALLY looks like!
🎥 Kat Wilt 
#HandTherapy #OccupationalTherapy #PhysicalTherapy #HandTherapist</t>
  </si>
  <si>
    <t>Wobble, wobble, wobble…</t>
  </si>
  <si>
    <t>https://www.instagram.com/p/DeSBWiRxIJS/</t>
  </si>
  <si>
    <t>Wobble, wobble, wobble…
1 cup, 1 BOSU, 0 room for mistakes 
Who’s got the best balance? 👀
#propt #physicaltherapy #newjersey #bosuball #watercupchallenge</t>
  </si>
  <si>
    <t>professionalphysicaltherapy, lp_dpt, courtneythompsonpt</t>
  </si>
  <si>
    <t>The National Physical Therapy Month celebrations continue! After winning the “Compliance Cup” at @user last quarter a</t>
  </si>
  <si>
    <t>https://www.instagram.com/p/DeR9RxoESx2/</t>
  </si>
  <si>
    <t>The National Physical Therapy Month celebrations continue! After winning the “Compliance Cup” at @user last quarter and hitting over 100k views on a recent reel, we wanted to celebrate with the people who keep us going — our patients. Thank you to Dave from @user for going above and beyond in order to help us do just that!!</t>
  </si>
  <si>
    <t>🎃👻 Spooky season is in FULL effect at our Freehold office! 🕸️🧡 Our windows got a Halloween makeover, and we’re loving all the festive creati</t>
  </si>
  <si>
    <t>https://www.instagram.com/p/DeRvmvvxMYR/</t>
  </si>
  <si>
    <t>🎃👻 Spooky season is in FULL effect at our Freehold office! 🕸️🧡 Our windows got a Halloween makeover, and we’re loving all the festive creativity! 🦇🍂
Which mural is YOUR favorite? 👀👇 Let us know in the comments!
#SpookySeason #HalloweenVibes #ProfessionalPhysicalTherapy #FreeholdNJ #CommunitySpirit 🎃</t>
  </si>
  <si>
    <t>Harrington Park, New Jersey</t>
  </si>
  <si>
    <t>🍂🏃‍♀️ Fall Into Your Best Run! 🏃‍♂️🍁</t>
  </si>
  <si>
    <t>https://www.instagram.com/p/DeRuqdvxbyL/</t>
  </si>
  <si>
    <t>🍂🏃‍♀️ Fall Into Your Best Run! 🏃‍♂️🍁
We’re excited to be part of the Harrington Park Fall Spectacular 5K! Get your morning started with a run, then stop by the Professional Physical Therapy tent and meet our PT experts.
🍁 Stretch with us
💪 Get tips for staying healthy &amp; injury-free
🩺 Take advantage of a complimentary injury screen*
👋 Meet your local Pro PT team
📅 October 17 | 8 AM
📍 Harrington Park School
191 Harriot Ave., Harrington Park, NJ
*Beneficiaries of federal and state health care programs and/or anyone with work related injuries are not eligible for complimentary consultation. Recipients are under no obligation to receive treatment. Screening is designed to be preventative, is limited to up to 15 minutes and has no cash value.
#proPT #fallvibes #physicaltherapy #5k #harringtonpark</t>
  </si>
  <si>
    <t>🎓 PT Students: Your Next Opportunity Starts Here!</t>
  </si>
  <si>
    <t>https://www.instagram.com/p/DeRrwezxYWh/</t>
  </si>
  <si>
    <t>🎓 PT Students: Your Next Opportunity Starts Here!
Professional Physical Therapy is participating in the Virtual Career Fair for PT Students! 💙
🗓️ October 20 | 6–8 PM ET
💻 Free to attend
Meet top PT employers, connect with recruiters, and explore opportunities for students graduating in 2026, 2027 &amp; 2028—including employers offering up to $60K in student loan repayment! 
👉 Register for free:  Clasp Virtual Career Fair for PT Students | Link in Bio.</t>
  </si>
  <si>
    <t>Somerset, New Jersey</t>
  </si>
  <si>
    <t>Better late than never… 😂</t>
  </si>
  <si>
    <t>https://www.instagram.com/p/DePmSyZp8AG/</t>
  </si>
  <si>
    <t>Better late than never… 😂
Somerset decided they weren’t going to let us finish the BOSU water cup challenge without one more submission. And Kevin understood the assignment. 💪🏼🥤
Balance? ✅
Coordination? ✅
No spilled water? ✅
Somerset has officially entered the chat. 👏🏼😂
#PhysicalTherapy #PhysicalTherapyNJ #SomersetNJ #BOSUChallenge #PTLife</t>
  </si>
  <si>
    <t>all jokes, we ❤️ our “cool mom” Jason! #meangirls @user</t>
  </si>
  <si>
    <t>https://www.instagram.com/p/DePezQHRZmp/</t>
  </si>
  <si>
    <t>Princeton, New Jersey</t>
  </si>
  <si>
    <t>POV:  Your PT: “Follow my lead.”</t>
  </si>
  <si>
    <t>https://www.instagram.com/p/DePWsNmxbiG/</t>
  </si>
  <si>
    <t>POV:  Your PT: “Follow my lead.” 
You: “Got it.” 
Also you: 🤪➡️🏃🏽‍♀️
#proPT #physicaltherapy #princetonnj</t>
  </si>
  <si>
    <t>Hoboken, New Jersey</t>
  </si>
  <si>
    <t>💪🏃‍♀️ Our Hoboken team is ready to support you! 🏃‍♂️🙌</t>
  </si>
  <si>
    <t>https://www.instagram.com/p/DePOHSQxx9C/</t>
  </si>
  <si>
    <t>💪🏃‍♀️ Our Hoboken team is ready to support you! 🏃‍♂️🙌
We’re heading to the New Jersey 5K &amp; 10K Hoboken and bringing the Professional PT tent with us!
📅 October 17
📍 Hoboken Waterfront
⏰ 8 AM Start
Whether you’re racing toward the finish line or cheering from the sidelines, stop by and see us! Our local clinicians will be there to help you stay moving with:
✨ Stretching
💪 Injury screenings*
👋 Meet your local Professional PT team
*Beneficiaries of federal and state health care programs and/or anyone with work related injuries are not eligible for complimentary consultation. Recipients are under no obligation to receive treatment. Screening is designed to be preventative, is limited to up to 15 minutes and has no cash value.
#proPT #hoboken #newjersey #physicaltherapy #injuryprevention</t>
  </si>
  <si>
    <t>Mahwah, New Jersey</t>
  </si>
  <si>
    <t>From injury recovery to performance and everything in between, our Mahwah team creates customized treatment plans designed around your goals</t>
  </si>
  <si>
    <t>https://www.instagram.com/p/DeO6M0ixZ3w/</t>
  </si>
  <si>
    <t>From injury recovery to performance and everything in between, our Mahwah team creates customized treatment plans designed around your goals. 💙 Whether you’re an athlete, weekend warrior, or simply looking to move and feel better, we’re here for you.
📍 119 Franklin Turnpike, Space 17 | Mahwah, NJ
📞 (201) 992-0175
Ready to get moving? Book with our Mahwah team today!
 #proPT #mahwah #newjersey #athleticperformance #painmanagement</t>
  </si>
  <si>
    <t>Most people see a hand therapist AFTER something goes wrong.</t>
  </si>
  <si>
    <t>https://www.instagram.com/p/DeOxVQGFooP/</t>
  </si>
  <si>
    <t>Most people see a hand therapist AFTER something goes wrong.
Bobbi Brown is doing something different. 👀
@user @user 
She’s working on her hands before pain, weakness or loss of function forces her to.
And that matters because her hands aren’t just part of her day.
They’re part of her career.
But here’s the thing:
You don’t have to be Bobbi Brown to need your hands to perform.
If you type all day.
Lift weights.
Cook.
Garden.
Work with your hands.
Play an instrument.
Take care of your family.
Your hands are working for you all day long.
So let’s stop thinking about hand therapy as something you only need when you’re injured.
Prevention is hand therapy, too.
These are some of the ways we’re working on strength, control, coordination and endurance with Bobbi.
Want the 6 exercises?
👇 Comment HANDS and I’ll DM them to you.
If you’re in New Jersey and something in your hand, wrist, thumb , elbow or shoulder  isn’t working the way it should:
Come see us for a complimentary wellness screen 
📍 Professional Hand Therapy | Montclair, NJ or any of our other locations. (I’ll help you find a hand therapist) 
Your hands work hard for you.
Let’s keep them working. 🖐️
Follow @user for real-world hand therapy, prevention and tips you can actually use.
#MontclairNJ #NorthJersey #HandTherapy #HandHealth #handstrength</t>
  </si>
  <si>
    <t>professionalphysicaltherapy, handiworkacademy</t>
  </si>
  <si>
    <t>Stiff PIP and DIP? 🖐️ Here’s a quick, easy flexion orthosis you can make in minutes to work on composite finger flexion. Low cost, low bulk,</t>
  </si>
  <si>
    <t>https://www.instagram.com/p/DeMqjMmx4IB/</t>
  </si>
  <si>
    <t>Stiff PIP and DIP? 🖐️ Here’s a quick, easy flexion orthosis you can make in minutes to work on composite finger flexion. Low cost, low bulk, and patients can actually tolerate it. Save this for your next stiff finger! 
#HandTherapy #occupationaltherapy #Orthosis #Splinting #propt</t>
  </si>
  <si>
    <t>Florham Park, New Jersey</t>
  </si>
  <si>
    <t>Welcome to Professional PT Florham Park!</t>
  </si>
  <si>
    <t>https://www.instagram.com/p/DeMm9LoxQoU/</t>
  </si>
  <si>
    <t>Welcome to Professional PT Florham Park!
Getting to us is easy—from plenty of parking to our clinic entrance inside the Sports Dome.
Once you’re through the doors, you’ll find the Professional Physical Therapy – Florham Park team ready to help you move, feel, and live better. 💙
Our experienced physical therapists treat a wide range of musculoskeletal and movement-related conditions, from sports injuries and post-surgical recovery to chronic pain and limited mobility.
✨ Personalized care
💪 Customized treatment plans
🏃 Focused on getting you back to what you love
Your road to feeling your best starts here.
📍 76 Passaic Avenue Florham Park, NJ — Come see us!
Call now: (973) 685-6303
#proPT #physicaltherapy #painmanagement #florhamparknj #newjersey</t>
  </si>
  <si>
    <t>Clark, New Jersey</t>
  </si>
  <si>
    <t>👶💙 Big milestones start with little steps!</t>
  </si>
  <si>
    <t>https://www.instagram.com/p/DeMfh_1RtsD/</t>
  </si>
  <si>
    <t>👶💙 Big milestones start with little steps!
We’re excited to announce that Professional Physical Therapy | Clark, NJ is now treating infants ages 0–18 months!
Our pediatric physical therapy team can help support your little one’s development, build strength, improve movement, and work toward important motor milestones—all with personalized, family-focused care. 💪✨
Meet Cristina Algeri, PT, DPT, and our team in Clark!
📍 67 Walnut Ave., Suite 301 | Clark, NJ
📞 (848) 800-0541
If you have questions about your child’s development or would like to learn more about pediatric PT, give us a call today!
#proPT #clarknj #pediatrictherapy #motorskills #movement</t>
  </si>
  <si>
    <t>Parsippany, New Jersey</t>
  </si>
  <si>
    <t>mirabajajpt</t>
  </si>
  <si>
    <t>Come play with us at the Parsippany Library Mini Golf Event!</t>
  </si>
  <si>
    <t>https://www.instagram.com/p/DeMY0mPx_a4/</t>
  </si>
  <si>
    <t>Come play with us at the Parsippany Library Mini Golf Event!
🗓️ October 10
📍 Parsippany Library (Main Library)
🕙 Drop by anytime between 10:00 AM and 3:30 PM
Swing by!
⛳ Meet Professional PT, Clinical Director, Meera Bajaj
🙌 Ask questions about aches, pains, and injury prevention
Whether you’re aiming for a hole-in-one or just enjoying the day, we’d love to see you there!
#proPT #parsippany #newjersey #injuryprevention #golfevent @user @user</t>
  </si>
  <si>
    <t>Fort Lee, New Jersey</t>
  </si>
  <si>
    <t>💙 Great Connections at The Nest!</t>
  </si>
  <si>
    <t>https://www.instagram.com/p/DeKkbNaGRnS/</t>
  </si>
  <si>
    <t>💙 Great Connections at The Nest!
We had a wonderful time connecting with the Fort Lee community at The Nest Adult Activity Center! 🙌 Our team shared helpful information about conditions treated in PT, what to expect during an evaluation, and ways to self-assess for fall risk. 💪
Thank you to everyone who joined us—we loved meeting you! 💙
#ProfessionalPT #FortLeeNJ #PhysicalTherapy #FallPrevention #HealthyAging</t>
  </si>
  <si>
    <t>New Brunswick, New Jersey</t>
  </si>
  <si>
    <t>Hey, New Brunswick! 👋💙 We’re here for you.</t>
  </si>
  <si>
    <t>https://www.instagram.com/p/DeJ4wQ-xaOY/</t>
  </si>
  <si>
    <t>Hey, New Brunswick! 👋💙 We’re here for you.
Finding us can be a little tricky—but we’ve got you! 👀 Follow along as we show you exactly how to get to Professional Physical Therapy | New Brunswick.
Once you find us, you’ll find a team ready to help you move better, feel better, and get back to doing what you love. 💪
📍 Your recovery starts here.  Book your appointment today.
303 George Street
Suite 104
New Brunswick, NJ
(732) 724-2355
#proPT #physicaltherapy #newbrunswick #newjersey #painmanagement</t>
  </si>
  <si>
    <t>New Milford, New Jersey</t>
  </si>
  <si>
    <t>💗 We’re going PINK! 💗</t>
  </si>
  <si>
    <t>https://www.instagram.com/p/DeJlxqExulg/</t>
  </si>
  <si>
    <t>💗 We’re going PINK! 💗
Professional Physical Therapy is proud to be part of the Pinktober: Breast Cancer Awareness Expo in New Milford!
Stop by and meet our local Pro PT clinicians, learn more about how physical therapy can support your health and mobility, and get helpful tips for staying strong, active &amp; pain-free. 💪
🗓️ October 10 | 2–6 PM
📍 VFW Post 4290 | New Milford, NJ
#Pinktober #BreastCancerAwareness #ProfessionalPT #PhysicalTherapy #NewMilfordNJ</t>
  </si>
  <si>
    <t>What a fantastic Grand Opening for our new Wilton CT location! 🎉</t>
  </si>
  <si>
    <t>https://www.instagram.com/p/DeHWzR-keiq/</t>
  </si>
  <si>
    <t>What a fantastic Grand Opening for our new Wilton CT location! 🎉
We loved welcoming the Wilton community, meeting new faces, giving tours of our space, and celebrating this exciting new chapter with a special ribbon-cutting ceremony alongside the Wilton Chamber of Commerce. ✂️🙌
A huge thank you to everyone who came out to celebrate with us! 
We’re here to help you move better, feel better, and live better.  Book an appointment with us. 
📍 88 Danbury Road | Suite 2G, 3rd Floor | Wilton, CT
📞 (475) 832-8344 
#proPT #wiltonct #physicaltherapy #painmanagement #injuryprevention</t>
  </si>
  <si>
    <t>professionalphysicaltherapy, courtneythompsonpt</t>
  </si>
  <si>
    <t>It’s physical therapy month, and what better way to celebrate than to learn about our therapists 🌟</t>
  </si>
  <si>
    <t>https://www.instagram.com/p/DeHL5cwxF13/</t>
  </si>
  <si>
    <t>It’s physical therapy month, and what better way to celebrate than to learn about our therapists 🌟
Therapist Spotlight: Courtney Thompson! 🌟
From treating our tiniest patients (as young as 3 months! 👶) to keeping the office afloat with her creative ideas, speaker events, and our always-entertaining question board, Courtney does it all! 💪🧠
She’s also a Certified Knee Specialist 🦴 and, when she’s not helping patients, you can probably find her baking something amazing! 🧁❤️</t>
  </si>
  <si>
    <t>Atco</t>
  </si>
  <si>
    <t>📣 Join Professional Physical Therapy at Bud Duble Senior Center!</t>
  </si>
  <si>
    <t>https://www.instagram.com/p/DeHGGUfxuBu/</t>
  </si>
  <si>
    <t>📣 Join Professional Physical Therapy at Bud Duble Senior Center!
We’re excited to connect with the Atco community for a special presentation on pain management. Our team will share helpful information and practical tips to better understand and manage pain.
🗓️ Tuesday, October 7
⏰ 12:00 PM
📍 Bud Duble Senior Center
33 Cooper Folly Rd., Atco, NJ
Come join us, learn more, and bring your questions! We hope to see you there! 💙
#ProfessionalPT #PainManagement #AtcoNJ #SeniorHealth</t>
  </si>
  <si>
    <t>Garden City, New York</t>
  </si>
  <si>
    <t>Maddie &amp; Rose have spoken. 🎤⚽️</t>
  </si>
  <si>
    <t>https://www.instagram.com/p/DeFDaoARie0/</t>
  </si>
  <si>
    <t>Maddie &amp; Rose have spoken. 🎤⚽️
Recovery Sunday? Varsity approved. ✅
They came in. They recovered. They left feeling good.
So… what are you waiting for?
Come recover with us at Recovery Sunday in Garden City! 💪🔥
Link in bio. 
#recoverysunday #gardencity #proPT #athletictraining #athletes @user @user</t>
  </si>
  <si>
    <t>Apparently, we decided that standing on a BOSU while drinking water off a barbell was a perfectly reasonable challenge. 😂</t>
  </si>
  <si>
    <t>https://www.instagram.com/p/DeAcFoUvPlK/</t>
  </si>
  <si>
    <t>Apparently, we decided that standing on a BOSU while drinking water off a barbell was a perfectly reasonable challenge. 😂
So naturally, we asked our NJ offices to give it a try.
A LOT of balance, coordination, questionable confidence, and a few very close calls. 😂
I think our teams understood the assignment. 💪🏼
Which office do you think handled the challenge best? 👀👇
Looking for a Professional Physical Therapy location near you? Check out the link in my bio to find your NJ office! #watercupchallenge #physicaltherapy #ProPT</t>
  </si>
  <si>
    <t>Warwick, New York</t>
  </si>
  <si>
    <t>Our friends in Warwick are challenging you 🫵🏻</t>
  </si>
  <si>
    <t>https://www.instagram.com/p/DeAHKhgxGr4/</t>
  </si>
  <si>
    <t>Our friends in Warwick are challenging you 🫵🏻
#proPT #physicaltherapy #watercupchallenge #fridayfeels #warwick</t>
  </si>
  <si>
    <t>Amesbury, Massachusetts</t>
  </si>
  <si>
    <t>Our Amesbury patient took us on a little journey to “Hand Land” with an original song written and performed right here in the clinic! 🎸🎤💙-We</t>
  </si>
  <si>
    <t>https://www.instagram.com/p/DeAARU-xuAs/</t>
  </si>
  <si>
    <t>Our Amesbury patient took us on a little journey to “Hand Land” with an original song written and performed right here in the clinic! 🎸🎤💙-We’re here for the talent. 🎶
#proPT #amesburyma #occupationaltherapy #handinjury #fridayfeels</t>
  </si>
  <si>
    <t>Oradell, New Jersey</t>
  </si>
  <si>
    <t>🏃‍♂️💥 Ready, set, Oradell! The 5K is coming, and we’re excited to be there cheering you on!</t>
  </si>
  <si>
    <t>https://www.instagram.com/p/Dd_jJJNxCow/</t>
  </si>
  <si>
    <t>🏃‍♂️💥 Ready, set, Oradell! The 5K is coming, and we’re excited to be there cheering you on!
Join us for the Oradell 5K &amp; Fun Run on October 10 and stop by to meet your local Professional PT team! 💙
We’ll be there to:
✨ Share healthy running tips
💪 Help you stay strong and injury-free
🙌 Connect with our Oradell community
📍 Memorial Field, Prospect Avenue, Oradell, NJ
🗓️ October 10 | 8 AM
Come run. Come have fun. Come say hi! 🏃‍♀️💙
#proPT #oradell #newjersey #physicaltherapy #injuryprevention</t>
  </si>
  <si>
    <t>what patients see vs what the OT sees 👏🏽✨ #handtherapy #occupationaltherapy #wellness</t>
  </si>
  <si>
    <t>https://www.instagram.com/p/Dd9fJkxB6Es/</t>
  </si>
  <si>
    <t>Long Island, NY</t>
  </si>
  <si>
    <t>propthauppauge_handtherapy</t>
  </si>
  <si>
    <t>Long Island, our dynamic duo is nominated AGAIN for Best of LI! 🏆💙</t>
  </si>
  <si>
    <t>https://www.instagram.com/p/Dd9Snh7xSjX/</t>
  </si>
  <si>
    <t>Long Island, our dynamic duo is nominated AGAIN for Best of LI! 🏆💙
Show some love for Professional PT’s Evan Ludin &amp; Rachael Burrei and help us celebrate these two amazing OT’s! 🎉
🗳️ Vote now through December 15!
Let’s show Evan &amp; Rachael some Long Island love!
Vote Here:
https://www.bestoflongisland.com/voting/#//
 Link in bio.👆🏻👆🏻👆🏻
#bestofLI #longisland #LIbusiness #proPT @user @user</t>
  </si>
  <si>
    <t>HAPPY NATIONAL PHYSICAL THERAPY MONTH!! Starting the month off strong with some education about the history of physical therapy💪</t>
  </si>
  <si>
    <t>https://www.instagram.com/p/Dd9JG3AEXEF/</t>
  </si>
  <si>
    <t>HAPPY NATIONAL PHYSICAL THERAPY MONTH!! Starting the month off strong with some education about the history of physical therapy💪 
Follow along with us this month to see how we continue to celebrate!!</t>
  </si>
  <si>
    <t>PATIENT RECOVERY SPOTLIGHT 💙 | Meet David</t>
  </si>
  <si>
    <t>https://www.instagram.com/p/Dd8-oQPRej_/</t>
  </si>
  <si>
    <t>PATIENT RECOVERY SPOTLIGHT 💙 | Meet David
From a torn meniscus and bone fragments in his quad tendon to single-leg squats, box jumps, and wall sits with excellent form and no pain—David’s recovery is a story of hard work, dedication, and perseverance.
In November 2025, David was training for a HIIT competition when he suffered a torn meniscus and bone fragments in his quad tendon. After having both surgically repaired in January 2026, he began his recovery non-weight bearing with very limited range of motion.
Fast forward 7 months post-op, and David has made incredible progress. 💪
Through his commitment to his recovery and his goal of returning to the active lifestyle he loves, David is well on his way. While a recovery like this can take approximately 12 months, he’s already performing:
🔥 Single-leg squats
🔥 Bilateral box jumps
🔥 Wall sits
🔥 All with excellent form and no pain
We’re proud to be part of David’s journey and excited to continue watching him progress toward a full return to his sporting activities. Keep pushing, David! 👏
Ready to start your own comeback?
Our Oradell team is here to help you move forward with confidence.
📍 Professional Physical Therapy – Oradell
680 Kinderkamack Rd.
Oradell, NJ
📞 (201) 992-0165
#proPT #oradellnj #physicaltherapy #patientsuccess #comebackstronger</t>
  </si>
  <si>
    <t>You know that one splinting trick you learned forever ago… and STILL use? 👀</t>
  </si>
  <si>
    <t>https://www.instagram.com/p/Dd7QI2Hpwrh/</t>
  </si>
  <si>
    <t>You know that one splinting trick you learned forever ago… and STILL use? 👀
This is my updated take on the old-school safety-pin splint for a PIP that just won’t flex.
The difference? 
Simple. Low profile. Completely customizable.
And because apparently I’m done gatekeeping 😂…
Want the exact material + how I attach the elastic?
👇 COMMENT “LLDS” and I’ll DM you the details.
Hand therapists — tell me you remember this one. 👀
#handtherapy #splintfabrication #cht #occupationaltherapy #handrehabilitation</t>
  </si>
  <si>
    <t xml:space="preserve">Thank you @user for partnering with AAOMPT-sSIG to put on this amazing 3-week upper cervical course for our 3rd year </t>
  </si>
  <si>
    <t>https://www.instagram.com/p/Dd7H5WuI1P4/</t>
  </si>
  <si>
    <t>Thank you @user for partnering with AAOMPT-sSIG to put on this amazing 3-week upper cervical course for our 3rd year students and recent grads! We learned so much and are so grateful for the opportunity to work with you all. Shoutout to Cassie, McKenna, Ray, and Sean for putting together this event and completing IOMT Level 2!</t>
  </si>
  <si>
    <t>Landing, New Jersey</t>
  </si>
  <si>
    <t>We’re excited to join the Lake Hopatcong Foundation’s Annual Lake Loop on Sunday, October 4 at Hopatcong State Park!</t>
  </si>
  <si>
    <t>https://www.instagram.com/p/Dd7AqUnzjih/</t>
  </si>
  <si>
    <t>We’re excited to join the Lake Hopatcong Foundation’s Annual Lake Loop on Sunday, October 4 at Hopatcong State Park!
Stop by the Professional Physical Therapy tent and say hello to our team. We’ll be there with:
✨ Wellness screenings*
🙌 Stretching station
👋 Meet the team
Come bike, hike, paddle—and support a great cause while enjoying everything Lake Hopatcong has to offer!
📍 Hopatcong State Park
🗓️ Sunday, October 4 | 7:15 AM–2 PM
We’ll see you at the lake!
*Beneficiaries of federal and state health care programs and/or anyone with work related injuries are not eligible for complimentary consultation. Recipients are under no obligation to receive treatment. Screening is designed to be preventative, is limited to up to 15 minutes and has no cash value.
#proPT #physicaltherapy #lakehopatcong #landingnj #stretch</t>
  </si>
  <si>
    <t>Massachusetts</t>
  </si>
  <si>
    <t>Two clinicians. One table of “Hot” wings. And a whole lot of patient stories.</t>
  </si>
  <si>
    <t>https://www.instagram.com/p/Dd6m541RoZL/</t>
  </si>
  <si>
    <t>Two clinicians. One table of “Hot” wings. And a whole lot of patient stories.
Throughout September, every patient story shared with our Danvers and Revere teams added a little more spice to the challenge.🌶️
More patient stories = HOTTER wings.🍗
So Seth Gresham from Danvers and Steve Vitale from Revere had no choice but to face the heat — one wing at a time.
What started as a celebration of our patients ended with hot wings, big laughs, great conversation… and some serious heat.
👉 Watch the full video on YouTube.  Link in Bio! 
#propt #physicaltherapy #hotwings #patientreviews #massachusetts @user @user</t>
  </si>
  <si>
    <t>Summit, New Jersey</t>
  </si>
  <si>
    <t>We had the pleasure of welcoming Anh, a physical therapy fellow from Vietnam, to our Summit clinic for the past 8 weeks.</t>
  </si>
  <si>
    <t>https://www.instagram.com/p/Dd6MUgJRTdD/</t>
  </si>
  <si>
    <t>We had the pleasure of welcoming Anh, a physical therapy fellow from Vietnam, to our Summit clinic for the past 8 weeks.
Hosted alongside Alyssa and Dominick and organized through Ortho Nations, this was an incredible opportunity for our team to share knowledge, learn from one another, and experience different perspectives in the world of physical therapy.
We’re so grateful to have had Anh with us and will miss having her around the clinic! Wishing her all the best! 🤍
#proPT #summit #newjersey #physicaltherapy #clinicaleducation</t>
  </si>
  <si>
    <t>Up to $50,000 in Student Loan Repayment Support — and we’re hiring!</t>
  </si>
  <si>
    <t>https://www.instagram.com/p/Dd4D9rAEb5Z/</t>
  </si>
  <si>
    <t>Up to $50,000 in Student Loan Repayment Support — and we’re hiring!
Professional Physical Therapy’s RISE Program helps eligible DPT students, recent graduates, and practicing PTs build their careers while receiving up to $50,000 toward qualifying student loans. 
Ready to RISE with ProPT? Explore our open Physical Therapist opportunities today!
#WeAreHiring #PhysicalTherapyJobs #DPT #PTCareers #proPT @user</t>
  </si>
  <si>
    <t>Norwalk, Connecticut</t>
  </si>
  <si>
    <t>Professional PT is excited to be at the Garavel SoNo Half Marathon &amp; 5K on October 4 at Veteran’s Park in South Norwalk!</t>
  </si>
  <si>
    <t>https://www.instagram.com/p/Dd30O-JxMd4/</t>
  </si>
  <si>
    <t>Professional PT is excited to be at the Garavel SoNo Half Marathon &amp; 5K on October 4 at Veteran’s Park in South Norwalk!
Stop by our booth to:
💙 Meet our local clinicians
💪 Get tips to stay healthy &amp; injury-free
🧘‍♀️ Take advantage of our Stretching Station
🏃 Learn more about injury screenings &amp; 2D Running Analysis available in-clinic*
Whether you’re training for your next race or just looking to move better, we’re here to help you go the distance!
📍 Veteran’s Park | South Norwalk, CT
🗓️ October 4
#ProfessionalPT #SoNoHalfMarathon #SoNo5K #RunStrong #InjuryPrevention
*Beneficiaries of federal and state health care programs and/or anyone with work related injuries are not eligible for complimentary consultation. Recipients are under no obligation to receive treatment. Screening is designed to be preventative, is limited to up to 15 minutes and has no cash value.</t>
  </si>
  <si>
    <t>WE’VE MOVED!</t>
  </si>
  <si>
    <t>https://www.instagram.com/p/Dd3yKpGx-dq/</t>
  </si>
  <si>
    <t>WE’VE MOVED!
Our Merrick Hand Therapy team has moved into a new space — Come see Alexia Santiago, OTR/L, CHT and the rest of our Hand Therapy team at their new location:
📍 2132 Merrick Avenue
Merrick, NY
Same great care. New space. Just across the way!
Book an appointment with us. (516) 900-5037
#proPT #handtherapy #CHT #merrick #longisland</t>
  </si>
  <si>
    <t>Despite the rainy weather, we were out at the Staten Island half marathon cheering on runners, connecting with the community, and helping ra</t>
  </si>
  <si>
    <t>https://www.instagram.com/p/Dd1MMShRGqH/</t>
  </si>
  <si>
    <t>Despite the rainy weather, we were out at the Staten Island half marathon cheering on runners, connecting with the community, and helping race day participants keep moving strong.
Thank you to everyone who stopped by to say hello and to all the runners who braved the rain!
 #proPT #statenisland #brooklyn #physicaltherapy #marathon</t>
  </si>
  <si>
    <t>2026-09-27</t>
  </si>
  <si>
    <t>Recovery Sundays at our Garden City Athletic Performance Center help athletes reset, recharge, and stay ready to perform.  You should be the</t>
  </si>
  <si>
    <t>https://www.instagram.com/p/DdzEb7ZRxNX/</t>
  </si>
  <si>
    <t>Recovery Sundays at our Garden City Athletic Performance Center help athletes reset, recharge, and stay ready to perform.  You should be there. 🫵🏼📍
If you haven’t recovered with us yet, now’s your chance.
The best athletes don’t just train hard—they recover smart. 💪
🔥 Sign up today — link in bio! 
https://papcstrong.com/programs/athlete-recovery-sundays/
#propt #athletictraining #recoverysunday #athlete #gardencity</t>
  </si>
  <si>
    <t>Made this for a patient traveling for work who couldn’t miss his stretching window ✈️ Low-profile static progressive PIP flexion splint — st</t>
  </si>
  <si>
    <t>https://www.instagram.com/p/DdxH0GfORbY/</t>
  </si>
  <si>
    <t>Made this for a patient traveling for work who couldn’t miss his stretching window ✈️ Low-profile static progressive PIP flexion splint — stays contained at the hand (no forearm component), adjustable as ROM improves, packs flat for travel. Proof you don’t need a bulky rig to get results.
Would you have splinted this differently? 👇
#handtherapy #splinting #PIPcontracture #staticprogressive #occupationaltherapy</t>
  </si>
  <si>
    <t>Professional Athletic Performance Center</t>
  </si>
  <si>
    <t>professionalphysicaltherapy, jon1179, czarina711, jallycza</t>
  </si>
  <si>
    <t>@user</t>
  </si>
  <si>
    <t>https://www.instagram.com/p/DdvBofnA6TS/</t>
  </si>
  <si>
    <t>@user 
REBUILDING THE STRENGTH‼️
REBUILDING THE QUICKNESS‼️
REBUILDING THE CONFIDENCE‼️
💪🏽⛹🏽‍♀️🏀🦾
#JourneyContinueZ</t>
  </si>
  <si>
    <t>🎤 PTs Leading PTs! 💙</t>
  </si>
  <si>
    <t>https://www.instagram.com/p/DduBpnexLS6/</t>
  </si>
  <si>
    <t>🎤 PTs Leading PTs! 💙
We’re proud to celebrate our very own Nicole McManus, RDO for our Northeast Region, who presented today at the Orthopedic Work Injury Conference in Waltham!
Nicole shared her expertise on “Functional Capacity Evaluation and Criteria for Return to Work”—bringing valuable insight and real-world clinical experience to fellow healthcare professionals.
And this is what makes Professional PT special: our regional leaders are clinicians, too. 🙌
From the clinic to leadership, our PTs are continuing to learn, lead, and elevate the profession.
Way to go, Nicole!
#proPT #massachussetts #orthopedics #physicaltherapy #workerscomp</t>
  </si>
  <si>
    <t>handiworkacademy, professionalphysicaltherapy</t>
  </si>
  <si>
    <t>https://www.instagram.com/p/Ddt-noRuhxE/</t>
  </si>
  <si>
    <t>POV: Your job is basically arts &amp; crafts… but with a whole lot of anatomy and biomechanics. 🖐️✂️
From tracing the pattern to molding the thermoplastic and perfecting the fit, every custom orthosis is designed specifically for the patient.
Today’s creation: a hand-based thumb spica! Designed to stabilize the thumb while allowing the wrist and fingers to move freely.
Who knew hand therapy could be so satisfying? 🤌
#HandTherapy #OccupationalTherapy #CertifiedHandTherapist #ThumbSpica #ProPT</t>
  </si>
  <si>
    <t>Less paperwork. More patient care. 💙</t>
  </si>
  <si>
    <t>https://www.instagram.com/p/DdtbfWoRaZO/</t>
  </si>
  <si>
    <t>Less paperwork. More patient care. 💙
What if technology could give clinicians more time to do what they do best—care for patients?
At Professional PT, tools like Scribe help streamline documentation so our clinicians can spend less time behind the computer and more time connecting, treating, and making a difference.
And Kevin, one of our PT’s in Huntington, agrees. As you can see, he shares a firsthand look at how the tool fits into his daily workflow and supports the way he cares for his patients. 
✔️ Less time documenting
✔️ More time with patients
✔️ Smarter, more efficient workflows
✔️ Technology that supports our clinicians
We’re committed to creating a workplace where people, technology, and patient care work better together.
We’re hiring!
Explore opportunities at professionalpt.com/careers 
#proPT #scribetechnology #physicaltherapy #handtherapy #patientcare</t>
  </si>
  <si>
    <t>professionalphysicaltherapy, dykerheights_propt</t>
  </si>
  <si>
    <t>“Crossing midline” is an important skill to have, as it influences not only gross and fine motor skills but also higher level activities tha</t>
  </si>
  <si>
    <t>https://www.instagram.com/p/DdrXW0gR3NB/</t>
  </si>
  <si>
    <t>“Crossing midline” is an important skill to have, as it influences not only gross and fine motor skills but also higher level activities that involve coordination and cognitive reasoning. 
When a child crosses midline using either their arms or legs, they strengthen the neural connections between the right and left sides of their brain. Since these sides have different roles in executing daily activities, this allows the brain to function as a unit.
In life, this translates to better preparing the body to perform coordinated movements, learn new things, and regulate emotions.
Here are some interventions I use to encourage crossing the midline while simultaneously working on core strength, balance, and coordination, in turn facilitating improved motor control and overall development. 
These interventions can be regressed or progressed as appropriate with different surfaces and levels of assistance. 
~~~~~~~~~~~~~~~~~~~~~~~~~~~~~~~~~~~~~~~~~
Educational content shared here is for general informational purposes only and is not intended to replace individualized evaluation, diagnosis, or treatment by a licensed healthcare professional.</t>
  </si>
  <si>
    <t>Sayville, New York</t>
  </si>
  <si>
    <t>Your pelvic health deserves specialized care. 💙</t>
  </si>
  <si>
    <t>https://www.instagram.com/p/Ddq0GonRxQA/</t>
  </si>
  <si>
    <t>Your pelvic health deserves specialized care. 💙
We offer Pelvic Floor Therapy at our Sayville clinic, providing personalized, compassionate care to help you feel stronger, more confident, and ready to get back to the life you love.
Meet Lindsey Krevitsky, OTR/L, Clinical Director of Occupational Therapy, who provides expert care for:
✨ Pelvic Pain
✨ Bladder Control
✨ Prenatal &amp; Postpartum Support
✨ Core &amp; Pelvic Floor Strength
You don’t have to navigate pelvic health concerns on your own. We’re here to help. 💙
📍 91 Main Street, Sayville, NY
📞 631-983-2576
#proPT #pelvic #pelvicfloor #physicaltherapy #sayville</t>
  </si>
  <si>
    <t>Morristown, New Jersey</t>
  </si>
  <si>
    <t>The Professional Physical Therapy team is returning to the Festival on the Green! 🎉</t>
  </si>
  <si>
    <t>https://www.instagram.com/p/Ddo_-eUT3jY/</t>
  </si>
  <si>
    <t>The Professional Physical Therapy team is returning to the Festival on the Green! 🎉
Join us September 27 from 12–5 PM for a fun day in the community. Stop by and:
✨ Meet your local Pro PT team
💪 Learn more about our services
💡 Get helpful tips for staying healthy &amp; injury-free
🙌 Chat with our clinicians and get your questions answered
📍 Morristown, NJ
🗓️ September 27 | 12–5 PM
#proPT #morristownnj #physicaltherapy #injuryprevention #festivalonthegreen</t>
  </si>
  <si>
    <t>Boston Back Bay</t>
  </si>
  <si>
    <t>🎥 Take the TOUR of Back Bay! 👀💙</t>
  </si>
  <si>
    <t>https://www.instagram.com/p/DdoUtz5x_w7/</t>
  </si>
  <si>
    <t>🎥 Take the TOUR of Back Bay! 👀💙
Come see what makes our Professional Physical Therapy | Back Bay location a great place to recover, get stronger, and keep moving! 💪
From a spacious treatment area to a friendly team and clinicians who keep you moving, we’re ready to show you around! 🙌
📍 607 Boylston St., 4th Floor | Back Bay, MA
📞 (857) 240-0909
🎯 Ready to start your own recovery TOUR? Book your appointment today! 💙
#ProfessionalPT #BackBay #BostonPT #PhysicalTherapy</t>
  </si>
  <si>
    <t>Andover, Massachusetts</t>
  </si>
  <si>
    <t>Andover Day was a great day! 🎉</t>
  </si>
  <si>
    <t>https://www.instagram.com/p/Ddmnxd0kagQ/</t>
  </si>
  <si>
    <t>Andover Day was a great day! 🎉
We loved getting out in the community, connecting with our neighbors, and helping the Andover community feel their best! From friendly faces to great conversations, it was a successful day all around. 🙌
Missed us at Andover Day? No worries — come see us! Our team is here to help you move better, feel stronger, and get back to doing what you love. 💪
📍 Find a clinic near you, check hours, and book your appointment right online:
www.ProfessionalPT.com
#proPT #andover #massachusetts #physicaltherapy #andoverday</t>
  </si>
  <si>
    <t>Staten Island, New York</t>
  </si>
  <si>
    <t>Professional PT is hitting the Staten Island 5K, 10K &amp; Half Marathon! Stop by and meet our Brooklyn-based PT clinicians, grab a stretch, and</t>
  </si>
  <si>
    <t>https://www.instagram.com/p/Ddmjf9xPqNF/</t>
  </si>
  <si>
    <t>Professional PT is hitting the Staten Island 5K, 10K &amp; Half Marathon! Stop by and meet our Brooklyn-based PT clinicians, grab a stretch, and pick up helpful tips to keep you moving strong and injury-free. 🙌
🗓️ September 27
📍 Freshkills Park, Staten Island
⏰ Race starts at 8 AM
Whether you’re running, cheering, or just there for the fun, come say hello! 💙
#ProfessionalPT #StatenIsland #RunThrough #physicaltherapy #injuryprevention</t>
  </si>
  <si>
    <t>Twinning on a Tuesday 👯‍♀️</t>
  </si>
  <si>
    <t>https://www.instagram.com/p/DdmcLbSplHx/</t>
  </si>
  <si>
    <t>Mountain Lakes, New Jersey</t>
  </si>
  <si>
    <t>Join Professional PT at the Run Against ALS 5K as we come together to support the ALS community! 💙</t>
  </si>
  <si>
    <t>https://www.instagram.com/p/Ddlu3RxxAd3/</t>
  </si>
  <si>
    <t>Join Professional PT at the Run Against ALS 5K as we come together to support the ALS community! 💙
Stop by our tent to meet the Pros, get expert tips on staying healthy and active, and stretch with us before or after the race! 🏃‍♀️🏃‍♂️
Every step helps support ALS research, essential equipment, and vital support services. Let’s move together for a great cause! 🙌
🗓️ September 26
⏰ 7:00 AM
📍 Wildwood Elementary School
51 Glen Rd, Mountain Lakes, NJ
#proPT #physicaltherapy #als #alsawareness #newjersey</t>
  </si>
  <si>
    <t>Randolph, New Jersey</t>
  </si>
  <si>
    <t>A huge thank-you to our friends at Professional Physical Therapy for supporting Randolph Rec Soccer year after year! 💙⚽️</t>
  </si>
  <si>
    <t>https://www.instagram.com/p/DdkdCAehmhE/</t>
  </si>
  <si>
    <t>A huge thank-you to our friends at Professional Physical Therapy for supporting Randolph Rec Soccer year after year! 💙⚽️
We’re so grateful to have such an amazing local business right here in Randolph continuing to support our players and our program!
#randolphrecsoccer #sponsor #community #support #thankful</t>
  </si>
  <si>
    <t>💪 Stay strong. Recover smarter.</t>
  </si>
  <si>
    <t>https://www.instagram.com/p/DdhEOk8RBhu/</t>
  </si>
  <si>
    <t>💪 Stay strong. Recover smarter.
Recovery Sundays at our Garden City Athletic Performance Center help athletes reset, recharge, and stay ready to perform. 🏃‍♂️🔥
Missed this Sunday? No worries—get in on the next one! 🙌. Link in bio👆🏻
#RecoverySunday #AthleteRecovery #GardenCity #AthleticPerformance #proPT</t>
  </si>
  <si>
    <t>gary_fallos, professionalphysicaltherapy, lp_dpt, courtneythompsonpt</t>
  </si>
  <si>
    <t>https://www.instagram.com/p/DdcGv3LppNt/</t>
  </si>
  <si>
    <t>Trouble performing chores at home? These exercises can help with improving dynamic balance, reaching outside your base of support, and training your shoulder and abdominal stabilizers!</t>
  </si>
  <si>
    <t>Concussions aren’t always easy to see—but knowing the signs matters.</t>
  </si>
  <si>
    <t>https://www.instagram.com/p/DdbwiTBx2_y/</t>
  </si>
  <si>
    <t>Concussions aren’t always easy to see—but knowing the signs matters.
This National Concussion Awareness Day, we’re raising awareness about recognizing symptoms, getting the right care, and making a safe return to the activities you love. 💪🏈
If you or your athlete has experienced a concussion, don’t guess—get guidance from a professional. Our Pro PT team can help support a safe, individualized recovery and return to activity. 💙
👉 Think you may have a concussion? See a professional at Professional Physical Therapy.  Visit www.professionalpt.com for a list of locations and book your appointment.
#NationalConcussionAwarenessDay #ConcussionAwareness #proPT #physicaltherapy #concussions</t>
  </si>
  <si>
    <t>South Orange, New Jersey</t>
  </si>
  <si>
    <t>Ready to take the next step in your career?</t>
  </si>
  <si>
    <t>https://www.instagram.com/p/Ddbq8ltRGZu/</t>
  </si>
  <si>
    <t>Ready to take the next step in your career?
Professional Physical Therapy will be attending Seton Hall University’s inaugural Fall 2026 Career Summit! 💙
Come explore career opportunities, connect with employers, and learn more about internships, part-time and full-time positions in healthcare.
🗓️ September 24
⏰ 10:30 AM–3:30 PM
📍 Bethany Hall | 400 South Orange Ave, South Orange, NJ
🎓 Open to all Seton Hall students &amp; alumni!
Be sure to look for the Professional PT team—we’d love to meet you!
#proPT #physicaltherapy #careersummit #setonhall #PTcareers @user</t>
  </si>
  <si>
    <t>kristin_westover_pt, professionalphysicaltherapy</t>
  </si>
  <si>
    <t>THANK YOU TO THE 96,000 OF YOU 🫶🏻👑#professionalphysicaltherapy @user @user</t>
  </si>
  <si>
    <t>https://www.instagram.com/p/DdZjuo4Mysn/</t>
  </si>
  <si>
    <t>West Caldwell, New Jersey</t>
  </si>
  <si>
    <t>Did you mark your calendar yet?!</t>
  </si>
  <si>
    <t>https://www.instagram.com/p/DdZRZYxRlbZ/</t>
  </si>
  <si>
    <t>Did you mark your calendar yet?! 
We’re excited to officially celebrate our Professional Physical Therapy | West Caldwell location—and we want you to join us! 💙
Stop by our Open House for an evening of good food, drinks, and great company!
✨ Tour the clinic
🥂 Enjoy food &amp; drinks
🤝 Mingle with our PT &amp; HT pros
💪 Learn more about what we do and how we can help
📍 700 Passaic Ave., West Caldwell, NJ
🕓 4–8 PM | [DATE]
Come check us out, meet the team, and celebrate with us!
#proPT #westcaldwell #newjersey #openhouse #physicaltherapy</t>
  </si>
  <si>
    <t>10,000 OF YOU!🎉💙</t>
  </si>
  <si>
    <t>https://www.instagram.com/p/DdY2zVpRDPA/</t>
  </si>
  <si>
    <t>10,000 OF YOU!🎉💙 
10,000 people choosing to follow along, learn something new, cheer on our patients, celebrate our Pros, and be part of the Professional PT community.
Every click. Like. Comment. Share. Follow.  Thank you!
#proPT #10kfollowers #trending #physicaltherapy #handtherapy</t>
  </si>
  <si>
    <t>Brooklyn Heights</t>
  </si>
  <si>
    <t>We had a blast at Brooklyn’s Biggest Back-to-School Party with Brooklyn Bridge Parents! From meeting amazing families to sharing tips for st</t>
  </si>
  <si>
    <t>https://www.instagram.com/p/DdW52-TRtWE/</t>
  </si>
  <si>
    <t>We had a blast at Brooklyn’s Biggest Back-to-School Party with Brooklyn Bridge Parents! From meeting amazing families to sharing tips for staying healthy, active &amp; injury-free, it was the perfect way to kick off the school year. 💪💙
Thanks to everyone who stopped by to hang with us!
#brooklynheights #brooklyn #proPT #physicaltherapy #injuryprevention</t>
  </si>
  <si>
    <t>Rutherford, New Jersey</t>
  </si>
  <si>
    <t>Rutherford Day is almost here!</t>
  </si>
  <si>
    <t>https://www.instagram.com/p/DdWhvpgR_f6/</t>
  </si>
  <si>
    <t>Rutherford Day is almost here!
We’re excited to be part of Rutherford Day 2026! 💙 Stop by and meet your local Professional Physical Therapy team while enjoying all the fun the day has to offer.
Come say hello, learn more about our services, and pick up helpful tips for staying healthy, active &amp; injury-free. 💪
🗓️ September 26 | 12–5 PM
📍 Rutherford, NJ
#proPT #rutherfordnj #newjersey #physicaltherapy #injuryprevention</t>
  </si>
  <si>
    <t>Teaching my patient how to don his static progressive splint for MCP flexion following a 5th metacarpal fracture. 🖐️</t>
  </si>
  <si>
    <t>https://www.instagram.com/p/DdWeejIRjB_/</t>
  </si>
  <si>
    <t>Teaching my patient how to don his static progressive splint for MCP flexion following a 5th metacarpal fracture. 🖐️
Why low-load prolonged stretch? Unlike a hard, quick stretch, sustained low-force loading lets collagen actually creep and remodel — encouraging real tissue elongation instead of just fighting elastic resistance (and risking micro-trauma/inflammation that can worsen stiffness). Total end-range time is the name of the game. #handtherapy #occupationaltherapy #certifiedhandtherapist #orthosis</t>
  </si>
  <si>
    <t>khart28, professionalphysicaltherapy</t>
  </si>
  <si>
    <t>https://www.instagram.com/p/DdUXxspJ2Ip/</t>
  </si>
  <si>
    <t>They told his mom no
I said yes. ❤️‍🩹
Phino was only 3 years old when a devastating laceration to the radial side of his wrist severed tendons, nerves AND an artery.
His mom called our office looking for someone willing to take on his care.
I didn’t hesitate.
And Phino? He showed up with a smile every single time.
He loved therapy — although getting near that scar was a whole different story. 😂
So we found what motivated him and turned therapy into PLAY.
The juice. The pulling. The reaching. The grasping. The lifting. The weight-bearing.
None of it was random.
Every “game” had a therapeutic purpose.
And little by little, that tiny hand got stronger, more coordinated and more functional.
Until one day, we looked at what he was doing and realized just how far he had come.
A FULL recovery.
These are the kids you never forget. ❤️‍🩹
#HandTherapy #PediatricHandTherapy #OccupationalTherapy #HandInjury #CertifiedHandTherapist</t>
  </si>
  <si>
    <t>Springfield, New Jersey</t>
  </si>
  <si>
    <t>Take a look inside our Springfield clinic! 👋💙</t>
  </si>
  <si>
    <t>https://www.instagram.com/p/DdUW8hQRSnN/</t>
  </si>
  <si>
    <t>Take a look inside our Springfield clinic! 👋💙
From our friendly front desk to our expert team and dedicated treatment space, we’re here to help you move better, feel stronger, and get back to doing what you love.
Ready to get started?
📍 150 Morris Avenue, Floor 2, Suite 200 | Springfield, NJ
📞 (908) 795-8848
Book your appointment with our Springfield team today!
#proPT #springfieldnj #newjersey #physicaltherapy #painmanagement</t>
  </si>
  <si>
    <t>Posting this again so you don’t miss out!!</t>
  </si>
  <si>
    <t>https://www.instagram.com/p/DdTtIslxHIt/</t>
  </si>
  <si>
    <t>Posting this again so you don’t miss out!! 
Our doors are already open, and we’re excited to officially celebrate our Grand Opening and kick off the fall season with the Wilton community!
You’re invited! 
📍 88 Danbury Road | Suite 2G, 3rd Floor | Wilton, CT
🗓️ September 23
⏰ 6:30 PM
✂️ We’ll be celebrating with a special ribbon-cutting ceremony with the Wilton Chamber of Commerce!
Come meet our expert team, tour our space, and see how we’re helping the Wilton community move better, feel better, and live better. 💪
Whether you’re recovering from an injury, managing pain, or looking to improve your mobility, our team is here to help you reach your goals.
🍁 New season. New beginnings. Same commitment to helping you move your best.
#proPT #physicaltherapy #openhouse #wiltonct #connecticut</t>
  </si>
  <si>
    <t>Bernardsville, New Jersey</t>
  </si>
  <si>
    <t>💙 Outstanding patient care is what we strive for every day.</t>
  </si>
  <si>
    <t>https://www.instagram.com/p/DdRxOrTR7KH/</t>
  </si>
  <si>
    <t>💙 Outstanding patient care is what we strive for every day.
We’re incredibly proud of Hector, Dee, and the entire Bernardsville team for making such a meaningful difference in their patients’ lives. Stories like Danna’s are a reminder of why we do what we do—listening, caring, and helping our patients get back to feeling their best. 🙌
Have you had a great experience with our team? We’d love to hear from you! Leave us a review. Link in bio. 👆🏻
#patientexperience #patientsuccess #patientreview #proPT #physicaltherapy</t>
  </si>
  <si>
    <t>We had a great time connecting with the Amesbury community at the Amesbury Council on Aging Wellness Resource Fair! 💙 We loved meeting local</t>
  </si>
  <si>
    <t>https://www.instagram.com/p/DdRbf-9RxNz/</t>
  </si>
  <si>
    <t>We had a great time connecting with the Amesbury community at the Amesbury Council on Aging Wellness Resource Fair! 💙 We loved meeting local residents, sharing tips for staying healthy and active, and talking all things movement, wellness, and feeling your best!
#proPT #amesbury #wellness #physicaltherapy #aging</t>
  </si>
  <si>
    <t>💙 Meet Your Local PT Team at The Nest!</t>
  </si>
  <si>
    <t>https://www.instagram.com/p/DdRJHqvRjgq/</t>
  </si>
  <si>
    <t>💙 Meet Your Local PT Team at The Nest!
We’re excited to connect with the Fort Lee community at The Nest Adult Activity Center! Join us for a friendly Meet &amp; Greet where our Professional PT team will share how physical therapy can help you stay active, strong, and independent. 💪
We’ll talk about the benefits of PT, answer your questions, and introduce you to the services we offer.
🗓️ September 24 | 11 AM
📍 The Nest Adult Activity Center
319 Main St., Fort Lee, NJ 07024
Come meet us, learn something new, and take a step toward moving your best!
#proPT #physicaltherapy #thenest #fortlee #injuryprevention</t>
  </si>
  <si>
    <t>2026-09-13</t>
  </si>
  <si>
    <t>You heard it here first…</t>
  </si>
  <si>
    <t>https://www.instagram.com/p/DdPR5kCzdLo/</t>
  </si>
  <si>
    <t>You heard it here first…
Long week. Big game tomorrow.  Recovery Sunday is the move. 💪🏻🔥
Recover with us. 📍Garden City, NY 
Sign up today. Link in bio. 👆🏻
https://papcstrong.com/programs/athlete-recovery-sundays/
#proPT #physicaltherapy #athletictraining #recoverysunday #athlete @user @user</t>
  </si>
  <si>
    <t>We’re back at Andover Day on September 19 in Downtown Andover! - you should meet us.</t>
  </si>
  <si>
    <t>https://www.instagram.com/p/DdJz5i6Rkke/</t>
  </si>
  <si>
    <t>We’re back at Andover Day on September 19 in Downtown Andover! - you should meet us. 
Stop by our booth to meet your local Professional PT clinicians, get tips on staying healthy &amp; injury-free, and learn more about how we can help you move better and feel your best. 💪
📍 Downtown Andover
🗓️ September 19
⏰ 9 AM–4 PM
Come say hello—we’d love to see you! 💙
#ProfessionalPT #AndoverDay #AndoverMA #CommunityStrong #InjuryPrevention</t>
  </si>
  <si>
    <t>Never Forget. 9.11.01 🇺🇸</t>
  </si>
  <si>
    <t>https://www.instagram.com/p/DdJSvHBxZ8k/</t>
  </si>
  <si>
    <t>🎉 Brooklyn, Let’s Get This Party Started!</t>
  </si>
  <si>
    <t>https://www.instagram.com/p/DdG0Gtix-DC/</t>
  </si>
  <si>
    <t>🎉 Brooklyn, Let’s Get This Party Started!
We’re excited to join Brooklyn Bridge Parents for Brooklyn’s Biggest Back-to-School Party! 📚🎒
Stop by and say hello to your local Professional Physical Therapy team! We’ll be there to meet families, share more about our services, and offer helpful tips to keep you and your family healthy, active &amp; injury-free. 💪 
🗓️September 13 | 12–4 PM
📍 Montague Street, between Clinton &amp; Hicks Streets, Brooklyn Heights
Come enjoy the fun, meet the team, and kick off the school year with us! 💙
#proPT #brooklynheights #physicaltherapy #injuryprevention #backtoschool</t>
  </si>
  <si>
    <t>What can skilled hand therapy accomplish in just 5 visits? 👀</t>
  </si>
  <si>
    <t>https://www.instagram.com/p/DdFAmyHpX-l/</t>
  </si>
  <si>
    <t>What can skilled hand therapy accomplish in just 5 visits? 👀
This patient came to us with a significant small-finger PIP contracture after initially receiving treatment elsewhere. With only 5 visits available, we had to be very intentional with every intervention.
This wasn’t simply about “stretching” the PIP.
We addressed the entire flexor–extensor relationship.
🔹 Lumbrical positioning + MCP flexion helped optimize the extensor mechanism while we controlled DIP hyperextension with an Oval-8.
🔹 Active FDP excursion through DIP flexion during serial casting promoted differential tendon glide and helped facilitate distal migration of the extensor hood/lateral bands as PIP extension improved.
🔹 Progressive serial casting provided the low-load, prolonged positioning needed to restore PIP extension.
🔹 Over-under splinting reinforced active PIP extension between casting sessions.
🔹 Oval-8 positioning during the HEP helped prevent unwanted DIP hyperextension while exercising.
🔹 Dorsal nighttime extension splinting helped maintain the correction.
And after just 5 visits?
➡️ Significant PIP extension gained.
➡️ DIP hyperextension controlled.
➡️ Extensor mechanism repositioned.
➡️ Full extension achieved in the final cast.
This is why hand therapy isn’t simply about getting a joint to move farther.
It’s about understanding the biomechanics—and knowing how to use splinting, tendon excursion, positioning and exercise together to change those mechanics.
Five visits. Every on</t>
  </si>
  <si>
    <t xml:space="preserve">We’re excited to officially celebrate our Professional Physical Therapy | West Caldwell location—and we want you to join us on the 22nd for </t>
  </si>
  <si>
    <t>https://www.instagram.com/p/DdEctfGR6qJ/</t>
  </si>
  <si>
    <t>We’re excited to officially celebrate our Professional Physical Therapy | West Caldwell location—and we want you to join us on the 22nd for an Open House! 💙
Stop by for an evening of good food, drinks, and great company!
✨ Tour the clinic
🥂 Enjoy food &amp; drinks
🤝 Mingle with our PT &amp; HT pros
💪 Learn more about what we do and how we can help you move and feel better 
📍 700 Passaic Ave., Caldwell, NJ
🗓️ September 22 
🕓 4–8 PM 
Come check us out, meet the team, and celebrate with us!
#proPT #westcaldwellnj #openhouse #physicaltherapy #handtherapy</t>
  </si>
  <si>
    <t>Williston Park, New York</t>
  </si>
  <si>
    <t>🎡 Meet Us at the Fair! 💙</t>
  </si>
  <si>
    <t>https://www.instagram.com/p/DdEPX9JxteF/</t>
  </si>
  <si>
    <t>🎡 Meet Us at the Fair! 💙
The Professional Physical Therapy team is hitting the streets! 🙌 Join us at the Williston Park Street Fair for a fun day in the community!
Stop by our booth to:
💪 Meet your local Pro PT team
✨ Learn about our services
💡 Pick up tips for staying active, healthy &amp; pain-free
🗓️ September 20 | 11 AM–5 PM
📍 Hillside Ave., Williston Park, NY
Come for the fair, stop by and say hello!
#proPT #willistonpark #newyork #physicaltherapy #injuryprevention</t>
  </si>
  <si>
    <t>@user #RoadToRecovery #Week3 ✅  #JourneyContinueZ</t>
  </si>
  <si>
    <t>https://www.instagram.com/p/DdCpvYfB29E/</t>
  </si>
  <si>
    <t>@user #RoadToRecovery #Week3 ✅  #JourneyContinueZ 
FROM ZERO GRAVITY ☑️ TO THE TURF ☑️ TO THE HARDWOOD ☑️ WORKOUTS</t>
  </si>
  <si>
    <t>The Hauppauge community came together for the Hauppauge Fire Department 5K, and we were thrilled to be part of it! 🙌</t>
  </si>
  <si>
    <t>https://www.instagram.com/p/DdCOSzzRFo4/</t>
  </si>
  <si>
    <t>The Hauppauge community came together for the Hauppauge Fire Department 5K, and we were thrilled to be part of it! 🙌
Our Professional PT team had a great time meeting runners, stretching with the community, sharing injury-prevention tips, and helping everyone stay moving and feeling their best.
 #proPT #hauppauge #longisland #physicaltherapy #injuryprevention @user</t>
  </si>
  <si>
    <t>From cupping to strengthening, mobility to recovery—we do it all to keep you moving! 💪</t>
  </si>
  <si>
    <t>https://www.instagram.com/p/DdBqX3oRzmK/</t>
  </si>
  <si>
    <t>From cupping to strengthening, mobility to recovery—we do it all to keep you moving! 💪
This World PT Day, we’re celebrating our incredible clinicians, innovative treatments, and most importantly, YOU. ⭐
Here’s to moving better, feeling better, and living better! 💙
www.professionalpt.com 
#proPT #physicaltherapy #worldptday #painmanagement #injuryprevention</t>
  </si>
  <si>
    <t>Today, we’re taking a well-deserved break to celebrate the hard work and dedication of our patients, team members, and communities.</t>
  </si>
  <si>
    <t>https://www.instagram.com/p/Dc_RZ1UxYh7/</t>
  </si>
  <si>
    <t>Today, we’re taking a well-deserved break to celebrate the hard work and dedication of our patients, team members, and communities.
All Professional Physical Therapy locations are CLOSED today in observance of Labor Day.</t>
  </si>
  <si>
    <t>Your next stop is better movement. 💙</t>
  </si>
  <si>
    <t>https://www.instagram.com/p/Dc37r4ixGW6/</t>
  </si>
  <si>
    <t>Your next stop is better movement. 💙
Welcome to Professional Physical Therapy | Randolph! Take a quick walk through our clinic and see where your recovery happens.
From personalized, one-on-one care to a spacious clinic designed to help you move, strengthen, and reach your goals, we’re here to help you get back to doing what you love. 💪
Whether you’re recovering from an injury, managing pain, or working toward a stronger, healthier you—your next stop is better movement.
📍 390 Route NJ 10, Suite 202
Randolph, NJ
📞 (973) 821-4099
Ready to take the next step? Contact our Randolph team today!
#proPT #physicaltherapy #painmanagement #injuryprevention #randolphnj</t>
  </si>
  <si>
    <t>We’re bringing Professional Physical Therapy to the Randolph Township Recreation Country Fair!</t>
  </si>
  <si>
    <t>https://www.instagram.com/p/Dc3Z3Ovx3ly/</t>
  </si>
  <si>
    <t>We’re bringing Professional Physical Therapy to the Randolph Township Recreation Country Fair!
Stop by our booth, say hello to the pros, and get helpful tips on staying active, healthy, and injury-free. 💪
🗓️ September 19
⏰ 11 AM–5 PM
📍 Veterans Community Park
100 Calais Rd, Randolph, NJ
Come for the fair, stop by for the PT tips!
#proPT #physicaltherapy #randolphnj #countryfair #newjersey</t>
  </si>
  <si>
    <t>🎶 This is how we do it... 🎶</t>
  </si>
  <si>
    <t>https://www.instagram.com/p/Dc05oZcRUGB/</t>
  </si>
  <si>
    <t>🎶 This is how we do it... 🎶
The Norwalk team put their mobility to the test! 💪
✅ Hand to the floor
✅ Knee to the floor
✅ Stand back up
Looks easy... but can you do it? 👀 Give it a try and tag us!
Need help moving better? Our team is here for you.
📍 346 Main Ave, Norwalk, CT
📞 (203) 847-4400
#proPT #mobilitychallenge #mobility #physicaltherapy #norwalk</t>
  </si>
  <si>
    <t>🎉 We’re Celebrating in Wilton, CT! 🍂💙</t>
  </si>
  <si>
    <t>https://www.instagram.com/p/Dc03fDhxF3v/</t>
  </si>
  <si>
    <t>🎉 We’re Celebrating in Wilton, CT! 🍂💙
Our doors are already open, and we’re excited to officially celebrate our Grand Opening and kick off the fall season with the Wilton community!
Join us for an evening of celebration!
📍 88 Danbury Road | Suite 2G, 3rd Floor | Wilton, CT
🗓️ September 23
⏰ 6:30 PM
✂️ We’ll be celebrating with a special ribbon-cutting ceremony with the Wilton Chamber of Commerce!
Come meet our expert team, tour our space, and see how we’re helping the Wilton community move better, feel better, and live better. 💪
🍁 New season. New beginnings. Same commitment to helping you move your best.
#openhouse #proPT #physicaltherapy #painmanagement #wiltonct</t>
  </si>
  <si>
    <t>2026-09-02</t>
  </si>
  <si>
    <t>Exciting news for the future of Physical Therapy!🎉</t>
  </si>
  <si>
    <t>https://www.instagram.com/p/DcyurKmkbP8/</t>
  </si>
  <si>
    <t>Exciting news for the future of Physical Therapy!🎉
Professional Physical Therapy is excited to announce RISE — Repayment Incentive Supporting Employees, a new student loan repayment program powered by Clasp.
We’re investing in the future of Physical Therapy — and investing in YOU.
Eligible full-time Physical Therapists may receive up to $50,000 toward qualifying DPT-related student loans, paid in annual installments over five years of eligible employment.
Whether you’re a DPT student, recent graduate, or practicing Physical Therapist, RISE is designed to help you build your career, grow with Professional Physical Therapy, and lighten the burden of student loan debt.
Ready to RISE? Start your application today! Clasp
**Eligibility requirements apply. **Program selection is not guaranteed.
**Employees who were previously employed by Professional Physical Therapy and return to employment within two (2) years of their separation date are not eligible to participate in the RISE program.
#proPT #physicaltherapy #dptstudent #studentloandebt #rise @user</t>
  </si>
  <si>
    <t>We’re excited to be part of the Amesbury Council on Aging Wellness Resource Fair and we’d love to meet you!</t>
  </si>
  <si>
    <t>https://www.instagram.com/p/DcyWAL2x9VU/</t>
  </si>
  <si>
    <t>We’re excited to be part of the Amesbury Council on Aging Wellness Resource Fair and we’d love to meet you!
Stop by the Professional Physical Therapy table to:
💙 Meet your local Amesbury team
💪 Pick up tips to stay healthy, active, and injury-free
🙌 Learn how physical therapy can help you move better, feel stronger, and keep doing what you love
📍 Amesbury Council on Aging Senior Center
68 Elm Street, Amesbury, MA
🗓️ September 11
⏰ 9:00 AM – 1:00 PM
Whether you’re looking for wellness tips, have questions about aches and pains, or just want to meet your neighborhood PT team, we’d love to see you there!
#amesbury #massachussets #proPT #physicaltherapy #injuryprevention</t>
  </si>
  <si>
    <t>We’re proud to spotlight Brandon Schmitt, PT, DPT, ATC, who presented at the American Academy of Sports Physical Therapy Annual Meeting this</t>
  </si>
  <si>
    <t>https://www.instagram.com/p/DcwKVBbxjt7/</t>
  </si>
  <si>
    <t>We’re proud to spotlight Brandon Schmitt, PT, DPT, ATC, who presented at the American Academy of Sports Physical Therapy Annual Meeting this summer in Seattle!
Sharing knowledge. Advancing the profession. Raising the bar. 👏
#proPT #physicatherapy #sportsphysicaltherapy #athletictraining #newjersey</t>
  </si>
  <si>
    <t>🔥 THE RIVALRY IS ABOUT TO HEAT UP. 🔥</t>
  </si>
  <si>
    <t>https://www.instagram.com/p/DcvuV1WxsDE/</t>
  </si>
  <si>
    <t>🔥 THE RIVALRY IS ABOUT TO HEAT UP. 🔥
Danvers 🆚 Revere
Seth 🆚 Steve
One Hot Wings Challenge.
Every patient story shared with our Danvers and Revere teams this month is adding fuel to the fire. 🌶️
The more stories you share, the hotter the wings get.
So the question isn’t if Seth and Steve can handle the heat…
It’s WHO CAN HANDLE MORE? 👀🔥
The countdown to the Professional PT Hot Wings Challenge is on.
#proPT #massachussets #physicaltherapy #hotwingschallenge #patientreview</t>
  </si>
  <si>
    <t>Belmar, New Jersey</t>
  </si>
  <si>
    <t>🏃‍♀️💙 We’ll See You at the Belmar Five Mile Run!</t>
  </si>
  <si>
    <t>https://www.instagram.com/p/Dcs-SCBx2Ek/</t>
  </si>
  <si>
    <t>🏃‍♀️💙 We’ll See You at the Belmar Five Mile Run!
Lace up and get ready to move! Professional Physical Therapy will be there to help you stretch, recover, and stay injury-free.
🗓️ September 5
📍 Belmar, NJ
Be sure to stop by the Professional PT Tent to:
💪 Meet our local PT team
🧘‍♀️ Get a stretch at our stretching station
🩺 Take advantage of an injury screen*
Look for the Professional PT Tent—we’ll see you there! 💙
*Beneficiaries of federal and state health care programs and/or anyone with work related injuries are not eligible for complimentary consultation. Recipients are under no obligation to receive treatment. Screening is designed to be preventative, is limited to up to 15 minutes and has no cash value.
#ProfessionalPhysicalTherapy #BelmarFiveMileRun #BelmarNJ #InjuryPrevention #Running</t>
  </si>
  <si>
    <t>2026-08-29</t>
  </si>
  <si>
    <t>jon1179, professionalphysicaltherapy, czarina711, jallycza</t>
  </si>
  <si>
    <t>@user #RoadToRecovery #Week2 ✅</t>
  </si>
  <si>
    <t>https://www.instagram.com/p/DcojKaQhN4P/</t>
  </si>
  <si>
    <t>@user #RoadToRecovery #Week2 ✅ 
THANK YOU Dr. Karly and staff at @user
#JourneyContinueZ</t>
  </si>
  <si>
    <t>From the moment you walk through our doors, you’ll experience the difference at Professional Physical Therapy – Oradell. 💙</t>
  </si>
  <si>
    <t>https://www.instagram.com/p/Dcldq_cxdjs/</t>
  </si>
  <si>
    <t>From the moment you walk through our doors, you’ll experience the difference at Professional Physical Therapy – Oradell. 💙
Whether you’re seeking expert Physical Therapy or Specialized Pelvic Floor Therapy, our team is here to provide personalized, one-on-one care in a welcoming environment designed to help you reach your goals.
No cookie-cutter treatment plans—just compassionate clinicians, evidence-based care, and a team committed to helping you move better, feel stronger, and get back to doing what you love.
Ready to get started? Schedule your evaluation today!
📍 Professional Physical Therapy – Oradell
680 Kinderkamack RD, Oradell, NJ
Call: (201) 992-0165
www.professionalpt.com
#propt #physicaltherapy #pelvichealth #painmanagement #oradellnj</t>
  </si>
  <si>
    <t>The Hauppauge Fire Department 5K is coming up on September 5, and the Professional PT team will be there to help you feel your best from sta</t>
  </si>
  <si>
    <t>https://www.instagram.com/p/DciuDOWxjHK/</t>
  </si>
  <si>
    <t>The Hauppauge Fire Department 5K is coming up on September 5, and the Professional PT team will be there to help you feel your best from start to finish! 💪
Stop by our tent to:
✨ Meet the Professional PT team
🙌 Stretch with us
🩺 Take advantage of a complimentary wellness screen*
💡 Pick up tips to help keep you moving and injury-free
🗓️ September 5
📍 HFD Headquarters
855 Wheeler Road, Hauppauge, NY 11788
Come for the race. Stop by for the recovery. We can’t wait to see you there! 💙🏃‍♀️
*Beneficiaries of federal and state health care programs and/or anyone with work related injuries are not eligible for complimentary consultation. Recipients are under no obligation to receive treatment. Screening is designed to be preventative, is limited to up to 15 minutes and has no cash value.
#hauppauge #longisland #proPT #physicaltherapy #injuryprevention</t>
  </si>
  <si>
    <t>Newburyport, Massachusetts</t>
  </si>
  <si>
    <t>Think you’ve got the balance, control, and coordination to pull this off? 👀</t>
  </si>
  <si>
    <t>https://www.instagram.com/p/DcgtZ74xin_/</t>
  </si>
  <si>
    <t>Think you’ve got the balance, control, and coordination to pull this off? 👀 
Grab a BOSU, grap a cup, and give it a try! 
Record your attempt and tag @user 
#bosuchallenge #ptchallenge #balance #physcialtherapy #propt</t>
  </si>
  <si>
    <t>🎓🏆 A Weekend Worth Celebrating! 💙</t>
  </si>
  <si>
    <t>https://www.instagram.com/p/DcgNRVoxup1/</t>
  </si>
  <si>
    <t>🎓🏆 A Weekend Worth Celebrating! 💙
We’re proud to celebrate Steve Vitale, who was honored at the Tufts University DPT Graduation Ceremony with the Clinical Instructor of the Year Award! 👏
Steve also accepted the Clinical Partner of the Year Award on behalf of Professional Physical Therapy! 🏆
#proPT #clinicalinstructor #physicaltherapy #clinicalsiteaward #massachussets @user</t>
  </si>
  <si>
    <t>Franklin Square, New York</t>
  </si>
  <si>
    <t>Boots, beats &amp; better movement! 🤠</t>
  </si>
  <si>
    <t>https://www.instagram.com/p/DcedMOoPaP2/</t>
  </si>
  <si>
    <t>Boots, beats &amp; better movement! 🤠
We had a great time at the Country City Dance Fest! 🎶 From line dancing to kicking up our boots, it was a day full of movement, music, and community fun.
Our Professional PT team loved connecting with everyone and sharing tips to help keep you strong, healthy &amp; injury-free.
#proPT #physicaltherapy #injuryprevention #countrycitydancefest #franklinsquare</t>
  </si>
  <si>
    <t>Rowley, Massachusetts</t>
  </si>
  <si>
    <t>🎉 Welcome to Professional Physical Therapy Rowley! 💙</t>
  </si>
  <si>
    <t>https://www.instagram.com/p/DcdyI6jxWPi/</t>
  </si>
  <si>
    <t>🎉 Welcome to Professional Physical Therapy Rowley! 💙
We’re proud to officially open our doors and serve the Rowley community with a spacious, welcoming environment and a commitment to excellence in patient care.
With 3,000 square feet dedicated to patient care, our new Rowley location gives you the space, equipment, and expert team you need to move better, feel stronger, and get back to doing what you love. 💪
📍 64 Forest Ridge Drive, Rowley, MA
📞 978-484-0003
Ready to get moving? Book your appointment with our Rowley team today! 💙
#ProfessionalPT #RowleyMA #PhysicalTherapy #NewLocation #PatientCare</t>
  </si>
  <si>
    <t>Comment (usernames removed)</t>
  </si>
  <si>
    <t>Brand reply</t>
  </si>
  <si>
    <t>Reply time (h)</t>
  </si>
  <si>
    <t>Extremely talented Physio 👏</t>
  </si>
  <si>
    <t>She’s amazing! 💙</t>
  </si>
  <si>
    <t>🙏🏻😊</t>
  </si>
  <si>
    <t>🔥🔥🔥🏋🏽‍♂️🧘🏽‍♀️💪🏽🔥🔥🔥</t>
  </si>
  <si>
    <t>💙💚</t>
  </si>
  <si>
    <t>One of the best physical therapist you can ever get….🔥🔥 she is wonderful and very approachable.</t>
  </si>
  <si>
    <t>Thank you! 💙💚</t>
  </si>
  <si>
    <t>Woww😁</t>
  </si>
  <si>
    <t>💚💙</t>
  </si>
  <si>
    <t>@user Letss goo 💪🏻👑</t>
  </si>
  <si>
    <t>It’s a different type of satisfaction 😅</t>
  </si>
  <si>
    <t>Send me this post</t>
  </si>
  <si>
    <t>😍</t>
  </si>
  <si>
    <t>🙌🙌👏👏</t>
  </si>
  <si>
    <t>❤️❤️❤️❤️</t>
  </si>
  <si>
    <t>Woww … rubyy..🥰 @user</t>
  </si>
  <si>
    <t>Very nice place go go as well on fulton street</t>
  </si>
  <si>
    <t>Thank you so much! We’re so glad you like us!</t>
  </si>
  <si>
    <t>Where are you located at</t>
  </si>
  <si>
    <t>check dm dear💚💙</t>
  </si>
  <si>
    <t>Where are you located?</t>
  </si>
  <si>
    <t>Where is this?</t>
  </si>
  <si>
    <t>⚽✨ Just Girls with Good Vibes , drinking iced coffee. FIFA and running the world 🎀✨🪽🩰💖🌷 @user @user @user @user</t>
  </si>
  <si>
    <t>@user Miss employee of the month ❤️🎀🧿💅✨</t>
  </si>
  <si>
    <t>Bay ridge Gang🤌🏻🔥🔥 #GucciGang 🤙🏻🤙🏻</t>
  </si>
  <si>
    <t>@user Mbappe Twinnn 🇫🇷💗💋</t>
  </si>
  <si>
    <t>😆😏💼👜</t>
  </si>
  <si>
    <t>😂😂😂</t>
  </si>
  <si>
    <t>😂 @user</t>
  </si>
  <si>
    <t>😂😂</t>
  </si>
  <si>
    <t>Great information!! :)</t>
  </si>
  <si>
    <t>Thank you dear💚💙</t>
  </si>
  <si>
    <t>The best clinician ever</t>
  </si>
  <si>
    <t>🔥</t>
  </si>
  <si>
    <t>👏❤️</t>
  </si>
  <si>
    <t>👏👏</t>
  </si>
  <si>
    <t>👏👏👏👏❤️</t>
  </si>
  <si>
    <t>Pls don’t even show me this w/ my FOREVER HIP ISSUE!! 😭🦵🏻💔♾️..</t>
  </si>
  <si>
    <t>@user @user 🙌😎</t>
  </si>
  <si>
    <t>🔥🔥</t>
  </si>
  <si>
    <t>😂😂😂😂😂😂 💪🏽💪🏽</t>
  </si>
  <si>
    <t>😂😂💙💚</t>
  </si>
  <si>
    <t>Hi 🙂 Please look at the requests Take a minute of your time, please</t>
  </si>
  <si>
    <t>https://www.instagram.com/p/CoauaFMIR_H/</t>
  </si>
  <si>
    <t>👏👏👏</t>
  </si>
  <si>
    <t>Can’t wait 🔥😍</t>
  </si>
  <si>
    <t>Do you offer this in forest hills location</t>
  </si>
  <si>
    <t>Yes! This service is available at our Forest hills location.
Feel free to call or text us at (718) 550-2618 
for more information or to schedule an appointment.</t>
  </si>
  <si>
    <t>Good job 👏</t>
  </si>
  <si>
    <t>Yes I need pelvic floor therapy...I called 3 times the recording said: estimate wait time 1 minute.... it  passed like 20 minutes then they disconnect my call...I tried 3 times... I'm wondering is this the way you treat new clients? I'm a wellness chef and I treat my clients with excellence and respect.....</t>
  </si>
  <si>
    <t>Congratulations!👏</t>
  </si>
  <si>
    <t>Yes!🙌 #coretex</t>
  </si>
  <si>
    <t>A shorter trip to PT can make such a difference in a busy week! We’re AI Capital, and we built PT Smart Referral for the teams handling referrals behind the scenes. Sharing it with your team in case it helps 😊 https://ptreferral.aicapitalapps.com/</t>
  </si>
  <si>
    <t>I'm curious about a company's policy regarding preferred names. It's important to me that individuals are addressed respectfully. I'm wondering if they have a procedure in place to honor people's chosen names. This inclusivity makes a big difference. I hope they do!</t>
  </si>
  <si>
    <t>Great to see consistent quality care across your locations 👏</t>
  </si>
  <si>
    <t>My nigga you him</t>
  </si>
  <si>
    <t>😂😂🔥</t>
  </si>
  <si>
    <t>PERFECT 🔥</t>
  </si>
  <si>
    <t>THANK YOU</t>
  </si>
  <si>
    <t>❤️</t>
  </si>
  <si>
    <t>I love you 💙💙</t>
  </si>
  <si>
    <t>YOU CHANGEDDD MY LIFE I LOVE YOUUUUUU 💙💙💙💙💙💙</t>
  </si>
  <si>
    <t>lol</t>
  </si>
  <si>
    <t>These are helpful</t>
  </si>
  <si>
    <t>I’m an eagles fan but you’re now my favorite player</t>
  </si>
  <si>
    <t>Oh Jesus 😂😂😂😂</t>
  </si>
  <si>
    <t>me next me next! 🙋‍♀️</t>
  </si>
  <si>
    <t>Likely favorite color used to be purple 😢</t>
  </si>
  <si>
    <t>I still have the shirt! Thx @user ! 🙌😂</t>
  </si>
  <si>
    <t>😍😍😍</t>
  </si>
  <si>
    <t>😍👏</t>
  </si>
  <si>
    <t>benjamin 👏</t>
  </si>
  <si>
    <t>Great work! 🙌</t>
  </si>
  <si>
    <t>Cute!</t>
  </si>
  <si>
    <t>That hug is the cutest!</t>
  </si>
  <si>
    <t>Ahhhh Tate liked this post ❤️</t>
  </si>
  <si>
    <t>Awwww</t>
  </si>
  <si>
    <t>Jack 😍😍😍</t>
  </si>
  <si>
    <t>How sweet. What a great charity</t>
  </si>
  <si>
    <t>Day 13 of asking for a USA Jack Hughes signed pic 😍🇺🇸</t>
  </si>
  <si>
    <t>Thank you</t>
  </si>
  <si>
    <t>Ty</t>
  </si>
  <si>
    <t>Very helpful.</t>
  </si>
  <si>
    <t>My nerves and carpal tunnel thank you 🙏🏼</t>
  </si>
  <si>
    <t>Neve flossing thank you</t>
  </si>
  <si>
    <t>👍👍👍</t>
  </si>
  <si>
    <t>Note, I get numbness in my elbow and it felt some relief</t>
  </si>
  <si>
    <t>I could of used this last yr</t>
  </si>
  <si>
    <t>What about pain and numbness in my right thumb? Feels like its coming from my wrist. I play disc golf and it feels like a shock in my thumb when I fully extended my arm 🙃</t>
  </si>
  <si>
    <t>Its only when I play the guitar for extended periods. I can then straighten my arm to get it to stop. Been in car wrecks and fractured my thoracic spine years ago. Ill give it a try</t>
  </si>
  <si>
    <t>Work for whole hand? My tingling feeling alternates from forearms to hands.</t>
  </si>
  <si>
    <t>Depending on which nerve is involved but this exercise could help with nerve tension in the forearm region as well</t>
  </si>
  <si>
    <t>Stanitis</t>
  </si>
  <si>
    <t>Thank you 😊</t>
  </si>
  <si>
    <t>Thnx!</t>
  </si>
  <si>
    <t>Thank you 🙏</t>
  </si>
  <si>
    <t>Thanks</t>
  </si>
  <si>
    <t>@user 🤔</t>
  </si>
  <si>
    <t>Thank you so much for that!! when I had a health insurance back in the days just my personal stuff anyways I saw a physical therapist and told me what you’re talking about knee pains sometimes it might not be caused just by the knee it might be your entire lake even the way you stand in the way you walk</t>
  </si>
  <si>
    <t>👍</t>
  </si>
  <si>
    <t>Yah up and down</t>
  </si>
  <si>
    <t>Mine hurts going up and down 😩</t>
  </si>
  <si>
    <t>It’s also a condition if you’ve also had knee surgery, she needs to do a little bit more studying because if you have no cartilage on your knees, you need to let that cartilage grow back. It doesn’t have to do with just stairs or your hips.</t>
  </si>
  <si>
    <t>There could be various reasons somebody has knee pain when going up the stairs. The video aims to point out some common reasons but is not exhaustive of all problems/solutions</t>
  </si>
  <si>
    <t>I just had TKR surgery six months ago and I'm having terrible pain going up and down the stairs. Physical Therapy believes that my kneecap might be off alignment., my doctor feels it's scar tissue. Who do I believe? How do I recover?</t>
  </si>
  <si>
    <t>Sorry to hear that you are still having pain when negotiating stairs. We would certainly recommend bringing your concerns to your surgeon to make sure you are on the right track to recover as well as discussing any other interventions that may be available to you.</t>
  </si>
  <si>
    <t>It’s called arthritis.</t>
  </si>
  <si>
    <t>Arthritis</t>
  </si>
  <si>
    <t>Just the thought of heel first hurt my achilles tendon.</t>
  </si>
  <si>
    <t>You are great Richa!!! You will continue to excel in the position.  Keep up the great work!</t>
  </si>
  <si>
    <t>👏</t>
  </si>
  <si>
    <t>Helping us conquer obstacles. Great Job!!</t>
  </si>
  <si>
    <t>Good going Richa!! 🙌🙌</t>
  </si>
  <si>
    <t>You're the best!!!❤️❤️❤️</t>
  </si>
  <si>
    <t>Keep up the great work Richa!! You’re doing amazing 🔥</t>
  </si>
  <si>
    <t>🔥🔥🔥</t>
  </si>
  <si>
    <t>Lets goooooooo 🔥🔥</t>
  </si>
  <si>
    <t>Let’s… Go!!!!!!!!!!!!!!!!!!</t>
  </si>
  <si>
    <t>🤌🏼✨</t>
  </si>
  <si>
    <t>Love this! 👏</t>
  </si>
  <si>
    <t>Great work team!</t>
  </si>
  <si>
    <t>This is AWESOME!!! 👏</t>
  </si>
  <si>
    <t>This was so sweet</t>
  </si>
  <si>
    <t>This is amazing!!!</t>
  </si>
  <si>
    <t>♥️ JAG has the BEST team!</t>
  </si>
  <si>
    <t>This is amazing! 🤍</t>
  </si>
  <si>
    <t>Dan you are famous! 🌟🌟🌟</t>
  </si>
  <si>
    <t>Dan Kane!!</t>
  </si>
  <si>
    <t>We love JAG!!!!</t>
  </si>
  <si>
    <t>He’s great!</t>
  </si>
  <si>
    <t>Me me me! ✋</t>
  </si>
  <si>
    <t>Great content! What’s this song?!</t>
  </si>
  <si>
    <t>Amazing ❤️❤️❤️</t>
  </si>
  <si>
    <t>This guy is the best!</t>
  </si>
  <si>
    <t>Way to go Gaurav!!!! Great job</t>
  </si>
  <si>
    <t>way to go bro!🔥</t>
  </si>
  <si>
    <t>Was great having you run with us!!
Conquer the Obstacle!!</t>
  </si>
  <si>
    <t>You are an inspiration Sir Gaurav🔥🔥🔥🔥</t>
  </si>
  <si>
    <t>Best best !!</t>
  </si>
  <si>
    <t>🔥🔥🙌🙌</t>
  </si>
  <si>
    <t>❤️❤️❤️❤️❤️</t>
  </si>
  <si>
    <t>🙌🙌🙌🙌🔥🔥🔥❤️❤️❤️❤️❤️</t>
  </si>
  <si>
    <t>Haye haye, chamaklas @user . Cheers and keep achieving 😀</t>
  </si>
  <si>
    <t>Not necessarily a "fix" for flat feet but what these exercises can do is strengthen feet during load so they better adapt to weight bearing. Basically have to bulletproof feet and calves and don't forget thw soleus</t>
  </si>
  <si>
    <t>How many reps</t>
  </si>
  <si>
    <t>3 sets of 10-12 reps are a good start. Gradually increasing to 3 sets of 15 as the become easier</t>
  </si>
  <si>
    <t>🧦👎🏽🦶🏽👍🏽</t>
  </si>
  <si>
    <t>Great advice !!</t>
  </si>
  <si>
    <t>Cute 💕💕</t>
  </si>
  <si>
    <t>Flawless</t>
  </si>
  <si>
    <t>Them tiny feet 👀👀</t>
  </si>
  <si>
    <t>I didn't know you could "fix" flat feet 🤔</t>
  </si>
  <si>
    <t>The towel curls help foot pain a lot</t>
  </si>
  <si>
    <t>Show your toes</t>
  </si>
  <si>
    <t>I was born with Flat  feet  no fixing them</t>
  </si>
  <si>
    <t>Craig is the best out there!</t>
  </si>
  <si>
    <t>God Bless you Craig.  So proud of you brother. ❤️❤️❤️❤️🙌🙌🙌🙌🙌🔥🔥🔥🔥🔥🔥👏👏👏👏👏👏</t>
  </si>
  <si>
    <t>The best!!</t>
  </si>
  <si>
    <t>🙌🙌</t>
  </si>
  <si>
    <t>🔥🔥🔥🔥</t>
  </si>
  <si>
    <t>The best 🔥👏🙌</t>
  </si>
  <si>
    <t>Lets goooooo 🔥🔥</t>
  </si>
  <si>
    <t>Wooohooo!!! Go Craig!!! 💪🏾💪🏾💪🏾</t>
  </si>
  <si>
    <t>My. GUY!</t>
  </si>
  <si>
    <t>You’re Top 2 not 2 my boy</t>
  </si>
  <si>
    <t>Love This sooooooo much 😍😍😍</t>
  </si>
  <si>
    <t>Love this so much!</t>
  </si>
  <si>
    <t>Love this💗</t>
  </si>
  <si>
    <t>This is great! You guys are the BEST! ❤️❤️❤️</t>
  </si>
  <si>
    <t>Huge thank you to @user @user @user and @user for putting together such an amazing program for our kids! Can’t wait to work together again ❤️</t>
  </si>
  <si>
    <t>@user those quads ❤️</t>
  </si>
  <si>
    <t>Love you boys wish me n my kids could meet you</t>
  </si>
  <si>
    <t>Is anyone paying attention to Luke’s red slippers? 😂😂</t>
  </si>
  <si>
    <t>This is so sweet ❤️</t>
  </si>
  <si>
    <t>👏👏👏🇺🇸🇺🇸🇺🇸</t>
  </si>
  <si>
    <t>Hurt Bros</t>
  </si>
  <si>
    <t>6:30 am and open my feed to luke hughes bare feet devsmin why 😔💔</t>
  </si>
  <si>
    <t>So educational! @user did such a great job explaining what to do!</t>
  </si>
  <si>
    <t>she did great!!</t>
  </si>
  <si>
    <t>That’s awesome! Go Kris! Olivia sticks tampons up her nose for her nose bleeds!</t>
  </si>
  <si>
    <t>That is such a great educational video , done very professionally!!</t>
  </si>
  <si>
    <t>thanks!!</t>
  </si>
  <si>
    <t>Great video, but have you ever tried putting a rolled 2x2 gauze under the top lip, inside the mouth? It immediately blocks the blood flow to the nose and there is not a concern of ripping the clot back open when you remove the plug. The athlete immediately calms down and you can assess the nose for a fx (and clean the blood off the jersey). Give it 5 min or so and remove the gauze.  If it starts bleeding again, go another 5 min.</t>
  </si>
  <si>
    <t>The Nose T is the new option for managing common anterior nosebleeds without stuffing, packing, or clamping the nose. Simple, disposable, and easy to use, The Nose T gives families, schools, athletes, first responders, and medical facilities a better way to handle everyday nosebleeds. It often quickly stops nosebleeds in seconds. There is nothing like it on the market. Visit TheNoseT.com.</t>
  </si>
  <si>
    <t>🀄🔥🏴‍☠️</t>
  </si>
  <si>
    <t>Ice or cool rag to the neck helps slow blood flow as well.</t>
  </si>
  <si>
    <t>is that why we see athletes with tampons in their noses sonetimes</t>
  </si>
  <si>
    <t>Look, look, she is still open 😂</t>
  </si>
  <si>
    <t>70 years old and I’m just learning this now???? ( thank you- never too late to learn )</t>
  </si>
  <si>
    <t>Can stick a tampon up there too but keep the string to pull on</t>
  </si>
  <si>
    <t>🙏🏼</t>
  </si>
  <si>
    <t>but those thighs</t>
  </si>
  <si>
    <t>Nice bro</t>
  </si>
  <si>
    <t>citation</t>
  </si>
  <si>
    <t>Turn around!</t>
  </si>
  <si>
    <t>🫦</t>
  </si>
  <si>
    <t>🥩</t>
  </si>
  <si>
    <t>Try doing that with bone on bone</t>
  </si>
  <si>
    <t>Try doing that with a torn meniscus</t>
  </si>
  <si>
    <t>What’s his @</t>
  </si>
  <si>
    <t>can you repost this shirtless?</t>
  </si>
  <si>
    <t>Weak quads hurts knees</t>
  </si>
  <si>
    <t>Great info! Thanks for sharing!</t>
  </si>
  <si>
    <t>🔥🔥🔥🔥🔥🔥🔥🔥🔥🔥</t>
  </si>
  <si>
    <t>Core strength really is the foundation for efficient running.💯</t>
  </si>
  <si>
    <t>The flutters put too much pressure on my back no matter how much I try to engage core and press back into floor</t>
  </si>
  <si>
    <t>Looking for tickets to the half marathon 😢😢 dm meeeee if anyone has!!!</t>
  </si>
  <si>
    <t>Looking for a half marathon bib transfer. Please dm me or call me</t>
  </si>
  <si>
    <t>If anyone is looking to sell a full marathon bib please DM me! Got scammed and have been training for months and just want to run!</t>
  </si>
  <si>
    <t>Anyone looking for a full Marathon bib?</t>
  </si>
  <si>
    <t>Looking for bib for the half or full marathon</t>
  </si>
  <si>
    <t>Cute concept.  As a PT, we are so much more than a machine and massage.  Points should be given for a patient doing the right form of an exercise or a thumbs up to understanding the education you’ve given them.  Love my profession as a PT and all that we do because we do so much more than most know</t>
  </si>
  <si>
    <t>Does this game also include triple booking, 20 minute evals, and no lunch breaks?</t>
  </si>
  <si>
    <t>Game on🔥</t>
  </si>
  <si>
    <t>Dear lord you're advertising arm bike and massage after as physical therapy treatment?</t>
  </si>
  <si>
    <t>Corporate chains still operating like its 1999</t>
  </si>
  <si>
    <t>Good thing I’m not a massage therapist</t>
  </si>
  <si>
    <t>I did the same thing today lol</t>
  </si>
  <si>
    <t>Zero dorsiflexion was performed in this video</t>
  </si>
  <si>
    <t>I’m having them do both so I can cut that treatment down to 30 min and get some notes done</t>
  </si>
  <si>
    <t>Boring ahh therapy session bro I can’t stand putting my patients on the nustep or sci fit. Way more exciting and beneficial for you and the patient to do some actual resistance/weight training or some balance/stability training on the airex pad, rocket board, step stool, etc…. I think manual therapy/message is always awesome though lol everyone loves a message</t>
  </si>
  <si>
    <t>Meeting Jeremy and having him help me with my hip back in 2023 changed my life.  He is so supportive and knows how to motivate me and keep me strong , I am so grateful he is in my life !!!!</t>
  </si>
  <si>
    <t>So inspiring!!</t>
  </si>
  <si>
    <t>so impressive!! big congrats, Jeremy 🥳</t>
  </si>
  <si>
    <t>The Hip God!!!!!🔥🔥🔥</t>
  </si>
  <si>
    <t>You are so deserving of this!!!</t>
  </si>
  <si>
    <t>From all of us in the profession! Thank you!!!</t>
  </si>
  <si>
    <t>So incredibly well deserved!! 🙌🏻 Grateful to have the opportunity to learn from and be mentored by one of the best✨ Congratulations, Jeremy!</t>
  </si>
  <si>
    <t>WOW!! Congrats Jeremy! A much deserved honor! 👏🏼</t>
  </si>
  <si>
    <t>WOAH Love this!! 👏👏❤️</t>
  </si>
  <si>
    <t>Congrats Jeremy! Thank you for doing all that you do!</t>
  </si>
  <si>
    <t>LETS GOOOOOO 👏👏👏</t>
  </si>
  <si>
    <t>Absolute legend! Congrats Jeremy!</t>
  </si>
  <si>
    <t>Congratulations!!</t>
  </si>
  <si>
    <t>Congrats Jeremey! You deserve it!</t>
  </si>
  <si>
    <t>Legendary!! Congrats Jeremy.</t>
  </si>
  <si>
    <t>We eating pork roll or Taylor ham for breakfast?</t>
  </si>
  <si>
    <t>depends who you ask 😉 @user need your NJ insight!</t>
  </si>
  <si>
    <t>Let’s go Stratton 🔥🔥</t>
  </si>
  <si>
    <t>I feel like I can come here for all of my ailments!!! 😍</t>
  </si>
  <si>
    <t>Good Luck Stratttt !!! 🙌</t>
  </si>
  <si>
    <t>🎉🎉🎉🎉</t>
  </si>
  <si>
    <t>New client in Darien, CT here, they're great!</t>
  </si>
  <si>
    <t>👏👏👏👏👏</t>
  </si>
  <si>
    <t>Go Stratton!!</t>
  </si>
  <si>
    <t>Go Stratton!!! This place looks awesome!!</t>
  </si>
  <si>
    <t>🙌🔥👏</t>
  </si>
  <si>
    <t>👏👏👏 welcome to the neighborhood and congratulations on the beautiful new spot! We’re glad we could help with your foamcore print last week! Looking forward to helping you guys with all of your print and business services needs! 🥂 🎉</t>
  </si>
  <si>
    <t>Congrats Stratton!!</t>
  </si>
  <si>
    <t>GO STRATTY!!!!!! 🫶🥹👏🏻</t>
  </si>
  <si>
    <t>Good luck Stratton!</t>
  </si>
  <si>
    <t>Very impressive space!</t>
  </si>
  <si>
    <t>Great information</t>
  </si>
  <si>
    <t>Excellent pediatric PT and human! @user</t>
  </si>
  <si>
    <t>❤️🔥</t>
  </si>
  <si>
    <t>🙌🏻💯🔥</t>
  </si>
  <si>
    <t>🙌❤️👏</t>
  </si>
  <si>
    <t>👏🏻👏🏻👏🏻</t>
  </si>
  <si>
    <t>👏👏👏❤️</t>
  </si>
  <si>
    <t>🙌🙌🙌👏👏</t>
  </si>
  <si>
    <t>🙌👏</t>
  </si>
  <si>
    <t>So proud of you 😍</t>
  </si>
  <si>
    <t>Thanks for the valuable information 👏</t>
  </si>
  <si>
    <t>Ninia is the BEST 🤍</t>
  </si>
  <si>
    <t>@user IS THE BEST!!!</t>
  </si>
  <si>
    <t>Yes Ninia!!! We love you!</t>
  </si>
  <si>
    <t>Go Ninia!!! You’re the best!!!</t>
  </si>
  <si>
    <t>Superstar 🌟</t>
  </si>
  <si>
    <t>🤙🏽🙏🏽💯🔥</t>
  </si>
  <si>
    <t>@user sooo awesome Ninia!! Def a star in every way!! ❤️</t>
  </si>
  <si>
    <t>Thank you for the love and support! This is a reflection of the hard work, dedication, and talent of an amazing team that I’m lucky to work alongside every day. So grateful for all of you! ❤️</t>
  </si>
  <si>
    <t>You are amazing Ninia!!!</t>
  </si>
  <si>
    <t>Welove you Ninia congratulations to your achievements.</t>
  </si>
  <si>
    <t>You are light and magic!!! 💕✨ 🫶</t>
  </si>
  <si>
    <t>Darn it I could use this!</t>
  </si>
  <si>
    <t>You guys got me!!!!</t>
  </si>
  <si>
    <t>Nap game elite 🔥👏</t>
  </si>
  <si>
    <t>That’s my boi @user!!</t>
  </si>
  <si>
    <t>I was on my way to the clinic and then I saw the end of the video! Nice joke guys!</t>
  </si>
  <si>
    <t>Sweater game 🔥 @user</t>
  </si>
  <si>
    <t>OMW..</t>
  </si>
  <si>
    <t>Hahaha i want this nap lab 😂😂</t>
  </si>
  <si>
    <t>Love it!😍 Nobody naps more than his mama!😉</t>
  </si>
  <si>
    <t>he learned it from the best 😉</t>
  </si>
  <si>
    <t>Go, James!! 👏👏</t>
  </si>
  <si>
    <t>James is the best!!</t>
  </si>
  <si>
    <t>👏👏👏 great jobs Dr.James Lenzi!!</t>
  </si>
  <si>
    <t>Wow, great tip!!!!❤️❤️👏👏</t>
  </si>
  <si>
    <t>Happy to help!!</t>
  </si>
  <si>
    <t>😍 only the best for our patients. Awesome to have you Dr. @user 👏</t>
  </si>
  <si>
    <t>Way to go Eliana!!</t>
  </si>
  <si>
    <t>Amazing !!</t>
  </si>
  <si>
    <t>Looks amazing!</t>
  </si>
  <si>
    <t>Yess</t>
  </si>
  <si>
    <t>Wohoo go Eliana!!</t>
  </si>
  <si>
    <t>Love seeing leadership and clinical care come together. Wishing you and the Fresh Meadows team a strong start serving the community. Let us connect here. 🙌</t>
  </si>
  <si>
    <t>👏👏 go El!</t>
  </si>
  <si>
    <t>Yayy eliana!</t>
  </si>
  <si>
    <t>🔥 Go Eliana</t>
  </si>
  <si>
    <t>👏👏👏👏</t>
  </si>
  <si>
    <t>👏👏👏👏👏👏👏</t>
  </si>
  <si>
    <t>video evidence of @user making us WORKKKK 🥵🥵🥵</t>
  </si>
  <si>
    <t>Sad I missed this 😔</t>
  </si>
  <si>
    <t>🥵🥶😈</t>
  </si>
  <si>
    <t>https://www.instagram.com/p/DWPemtkEqIm/</t>
  </si>
  <si>
    <t>So proud of you Ashley! You are a Superstar! 
👏❤️</t>
  </si>
  <si>
    <t>How Awesome!!!!!</t>
  </si>
  <si>
    <t>Still so proud. 👏🏾👏🏾</t>
  </si>
  <si>
    <t>Two superstars!! 🔥</t>
  </si>
  <si>
    <t>Congratz!!!</t>
  </si>
  <si>
    <t>My two fav people talking to my fav group of students!!!! You’re such a rockstar!</t>
  </si>
  <si>
    <t>Come join us! I’ll be there 🕺💃</t>
  </si>
  <si>
    <t>Proud to rep dance OT 🤩</t>
  </si>
  <si>
    <t>does it include any of the ballroom dance moves?</t>
  </si>
  <si>
    <t>our performing arts PTs are trained dancers and performers across disciplined! They are highly specialized to keep you dancing at your best, no matter the move 💃</t>
  </si>
  <si>
    <t>@user we are cinematic makers</t>
  </si>
  <si>
    <t>Be there or be ◼️!!!!!</t>
  </si>
  <si>
    <t>So much fun!! Can’t wait for the next one 👏🏼</t>
  </si>
  <si>
    <t>Thank you @user 👏 such an awesome partnership to bring to the program 💪</t>
  </si>
  <si>
    <t>always love working with you guys, but especially with the kids!</t>
  </si>
  <si>
    <t>An amazing partnership. We love @user</t>
  </si>
  <si>
    <t>👏👏👏 Great video</t>
  </si>
  <si>
    <t>GO KIERAN!!!!</t>
  </si>
  <si>
    <t>Love this Kieran!</t>
  </si>
  <si>
    <t>Kieran this is great!</t>
  </si>
  <si>
    <t>We love you Kieran!!!!</t>
  </si>
  <si>
    <t>👏🏼🤌🏼</t>
  </si>
  <si>
    <t>Ayeeee Kierannn!!! 👏🏽👏🏽👏🏽</t>
  </si>
  <si>
    <t>Legend!!!</t>
  </si>
  <si>
    <t>Let’s go Kendra 👏🏽👏🏽👏🏽</t>
  </si>
  <si>
    <t>Go Kendra!!!</t>
  </si>
  <si>
    <t>The best!!! Go hand team!!</t>
  </si>
  <si>
    <t>Spear truly has an exceptional OT team! 👏👏👏</t>
  </si>
  <si>
    <t>Kendra is a phenomenal hand therapist and leader! Great to see such a strong group of specialists at Spear.</t>
  </si>
  <si>
    <t>Yay Kendra!!</t>
  </si>
  <si>
    <t>Love seeing clinicians who are truly passionate about their specialty.❤️</t>
  </si>
  <si>
    <t>well done, graduates!!! 🤩🎓👏</t>
  </si>
  <si>
    <t>Congratulations!!🎓</t>
  </si>
  <si>
    <t>Best CI !! Congrats! @user 👏</t>
  </si>
  <si>
    <t>Congrats Niyati, Henry and John! You all helped us so much!</t>
  </si>
  <si>
    <t>A year of mentoring, journal clubs and community events adds up to more than a certificate. Congratulations to the sports residency graduates—what part of the year brought the group closest together?</t>
  </si>
  <si>
    <t>What an incredible way to build character at the same time!</t>
  </si>
  <si>
    <t>Great job!!</t>
  </si>
  <si>
    <t>I'm so proud of you both!!!!!</t>
  </si>
  <si>
    <t>That’s my baby!! 😍👏💪🏽🩵
Phino loves his ladies @user ♥️
We can’t thank you enough, Sheena! 💖 
@user 
Finding a hand specialist who would take a pediatric patient felt impossible until we found you! You truly changed the course of his life. We are forever grateful to you and your team. Thank you for saying YES 🥹🫶🏼</t>
  </si>
  <si>
    <t>Very well done!</t>
  </si>
  <si>
    <t>I had the pleasure of doing my OT at the same time as Phino last week. I knew my OTs were special based on my experience over the past months,  but I was blown away by how amazing they were with a little one.  I wouldn’t hesitate to recommend @user and her therapists to everyone!</t>
  </si>
  <si>
    <t>So good</t>
  </si>
  <si>
    <t>You are fantastic, thank you for doing what you do. ☮️💚</t>
  </si>
  <si>
    <t>@user OMG poor Phino. And mommy too. Gotta love that smile 💙. Kids are so resilient.</t>
  </si>
  <si>
    <t>God bless pediatric hand OTs! Give me the broken leg kids any day over these</t>
  </si>
  <si>
    <t>Yes!!! Love love love</t>
  </si>
  <si>
    <t>Even as a adult these exercises look fun</t>
  </si>
  <si>
    <t>Also, young children generally still have so much cell growth and regrowth that tissue repair is more likely. Coaxing that repair with exercises and direction only makes the repair healthier and all the more awe-inspiring. I love this post so much!</t>
  </si>
  <si>
    <t>influencer sheeeena !! 🔥</t>
  </si>
  <si>
    <t>LLDS🙏🏾</t>
  </si>
  <si>
    <t>Genius</t>
  </si>
  <si>
    <t>LLDS</t>
  </si>
  <si>
    <t>LLDS.  thank you!!</t>
  </si>
  <si>
    <t>LLD thank you</t>
  </si>
  <si>
    <t>Llds</t>
  </si>
  <si>
    <t>llds</t>
  </si>
  <si>
    <t>In the hands of the BEST!!!!!!!</t>
  </si>
  <si>
    <t>So cool! Love Bobbi Brown!</t>
  </si>
  <si>
    <t>As a fellow CHT… this is so iconic - love it!!!!</t>
  </si>
  <si>
    <t>Hands and Bobbi brown!!! Omg morning noon and night jones road!❤️</t>
  </si>
  <si>
    <t>HANDS</t>
  </si>
  <si>
    <t>Hands</t>
  </si>
  <si>
    <t>Except nobody stands still when they sweep or mop.</t>
  </si>
  <si>
    <t>😂come teach me that!!!</t>
  </si>
  <si>
    <t>YES  now do you see the difference between TE and TA?</t>
  </si>
  <si>
    <t>Great stuff!</t>
  </si>
  <si>
    <t>This is such a good idea!</t>
  </si>
  <si>
    <t>Brilliant and practical!</t>
  </si>
  <si>
    <t>🐐</t>
  </si>
  <si>
    <t>Wow so creative! Love these</t>
  </si>
  <si>
    <t>Go Nick! 🔥</t>
  </si>
  <si>
    <t>👏👏👏👏👏🔥🔥🔥</t>
  </si>
  <si>
    <t>I need help</t>
  </si>
  <si>
    <t>Love the nail color and splints!</t>
  </si>
  <si>
    <t>Perfectly done!!!</t>
  </si>
  <si>
    <t>Maybe you can test RMF splint</t>
  </si>
  <si>
    <t>What was the initial injury? Fracture?</t>
  </si>
  <si>
    <t>This is incredible. 😂🔥</t>
  </si>
  <si>
    <t>This is hilarious 😂 great idea!</t>
  </si>
  <si>
    <t>Fantastic 😅</t>
  </si>
  <si>
    <t>Wait I LOVE this 👻</t>
  </si>
  <si>
    <t>Love this!! 👏</t>
  </si>
  <si>
    <t>Spooky!!!! 👻</t>
  </si>
  <si>
    <t>👻🎃😎</t>
  </si>
  <si>
    <t>😮😮</t>
  </si>
  <si>
    <t>Hahaa</t>
  </si>
  <si>
    <t>They are the BEST!!!</t>
  </si>
  <si>
    <t>Awesome news :)</t>
  </si>
  <si>
    <t>love to see it!! thanks for having us</t>
  </si>
  <si>
    <t>You guys rock!! Thanks for having us</t>
  </si>
  <si>
    <t>Amazing work @user 👏</t>
  </si>
  <si>
    <t>Thanks for having us! You guys were great 🧠💪</t>
  </si>
  <si>
    <t>Yeah!!!</t>
  </si>
  <si>
    <t>Let’s gooo #nexperts</t>
  </si>
  <si>
    <t>Woooo</t>
  </si>
  <si>
    <t>I didn’t attend but i wish i did to learn from the great Dr. Randy</t>
  </si>
  <si>
    <t>Amazing job! Looks great! 👏👏👏</t>
  </si>
  <si>
    <t>Highly endorse this clinic! 🙌🙌🙌</t>
  </si>
  <si>
    <t>Well done. Congratulations 👏👏👏</t>
  </si>
  <si>
    <t>unreal</t>
  </si>
  <si>
    <t>Prime real estate 🔥🔥</t>
  </si>
  <si>
    <t>Wow 🤩 so much space 🙌💪</t>
  </si>
  <si>
    <t>Wow great camera work I wonder who did it ;)</t>
  </si>
  <si>
    <t>Nice greg!</t>
  </si>
  <si>
    <t>Ok Greg 💪🏾</t>
  </si>
  <si>
    <t>Go greg go!</t>
  </si>
  <si>
    <t>I’m doing PT now and physical therapist Greg is the best!!!</t>
  </si>
  <si>
    <t>Omg 😆</t>
  </si>
  <si>
    <t>😆👏🏽👏🏽👏🏽</t>
  </si>
  <si>
    <t>Omg 😂😂😂</t>
  </si>
  <si>
    <t>😆 😂 😆</t>
  </si>
  <si>
    <t>Gorgeous!</t>
  </si>
  <si>
    <t>Place a small bouncy ball between the tip of the IF and thumb
That will set a more functional pinch</t>
  </si>
  <si>
    <t>I used to do that your way. 
I’m telling ya, the compliance will be much better</t>
  </si>
  <si>
    <t>I miss you all 🥰</t>
  </si>
  <si>
    <t>Courtney fan club president</t>
  </si>
  <si>
    <t>I love you</t>
  </si>
  <si>
    <t>😍😍</t>
  </si>
  <si>
    <t>The content I’ve been waiting for!!🔥🔥</t>
  </si>
  <si>
    <t>I could see the steam coming out of your ears!🔥</t>
  </si>
  <si>
    <t>Can you share it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</si>
</sst>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quot;×&quot;"/>
  </numFmts>
  <fonts count="11" x14ac:knownFonts="1">
    <font>
      <sz val="11"/>
      <color theme="1"/>
      <name val="Calibri"/>
      <family val="2"/>
      <scheme val="minor"/>
    </font>
    <font>
      <b/>
      <sz val="16"/>
      <color rgb="FF17324D"/>
      <name val="Arial"/>
    </font>
    <font>
      <i/>
      <sz val="10"/>
      <color rgb="FF52606D"/>
      <name val="Arial"/>
    </font>
    <font>
      <b/>
      <sz val="12"/>
      <color rgb="FFFFFFFF"/>
      <name val="Arial"/>
    </font>
    <font>
      <b/>
      <sz val="10"/>
      <color rgb="FFFFFFFF"/>
      <name val="Arial"/>
    </font>
    <font>
      <b/>
      <sz val="10"/>
      <color rgb="FF1F2933"/>
      <name val="Arial"/>
    </font>
    <font>
      <sz val="10"/>
      <color rgb="FF1F2933"/>
      <name val="Arial"/>
    </font>
    <font>
      <sz val="10"/>
      <color rgb="FF0563C1"/>
      <name val="Arial"/>
    </font>
    <font>
      <b/>
      <sz val="10"/>
      <color rgb="FF0000FF"/>
      <name val="Arial"/>
    </font>
    <font>
      <sz val="10"/>
      <color rgb="FF0000FF"/>
      <name val="Arial"/>
    </font>
    <font>
      <i/>
      <sz val="9"/>
      <color rgb="FF7B8794"/>
      <name val="Arial"/>
    </font>
  </fonts>
  <fills count="9">
    <fill>
      <patternFill patternType="none"/>
    </fill>
    <fill>
      <patternFill patternType="gray125"/>
    </fill>
    <fill>
      <patternFill patternType="solid">
        <fgColor rgb="FF17324D"/>
      </patternFill>
    </fill>
    <fill>
      <patternFill patternType="solid">
        <fgColor rgb="FF0E8C99"/>
      </patternFill>
    </fill>
    <fill>
      <patternFill patternType="solid">
        <fgColor rgb="FFE6F4F5"/>
      </patternFill>
    </fill>
    <fill>
      <patternFill patternType="solid">
        <fgColor rgb="FFD8F3DC"/>
      </patternFill>
    </fill>
    <fill>
      <patternFill patternType="solid">
        <fgColor rgb="FFFDE2E1"/>
      </patternFill>
    </fill>
    <fill>
      <patternFill patternType="solid">
        <fgColor rgb="FFFFFFFF"/>
      </patternFill>
    </fill>
    <fill>
      <patternFill patternType="solid">
        <fgColor rgb="FFFFF3BF"/>
      </patternFill>
    </fill>
  </fills>
  <borders count="4">
    <border>
      <left/>
      <right/>
      <top/>
      <bottom/>
      <diagonal/>
    </border>
    <border>
      <left style="thin">
        <color rgb="FFD5DCE3"/>
      </left>
      <right style="thin">
        <color rgb="FFD5DCE3"/>
      </right>
      <top style="thin">
        <color rgb="FFD5DCE3"/>
      </top>
      <bottom style="thin">
        <color rgb="FFD5DCE3"/>
      </bottom>
      <diagonal/>
    </border>
    <border>
      <left/>
      <right/>
      <top style="thin">
        <color rgb="FFD5DCE3"/>
      </top>
      <bottom style="thin">
        <color rgb="FFD5DCE3"/>
      </bottom>
      <diagonal/>
    </border>
    <border>
      <left/>
      <right style="thin">
        <color rgb="FFD5DCE3"/>
      </right>
      <top style="thin">
        <color rgb="FFD5DCE3"/>
      </top>
      <bottom style="thin">
        <color rgb="FFD5DCE3"/>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0" fontId="3" fillId="2" borderId="0" xfId="0" applyFont="1" applyFill="1"/>
    <xf numFmtId="0" fontId="0" fillId="2" borderId="0" xfId="0" applyFill="1"/>
    <xf numFmtId="0" fontId="4" fillId="3" borderId="1" xfId="0" applyFont="1" applyFill="1" applyBorder="1" applyAlignment="1">
      <alignment vertical="center" wrapText="1"/>
    </xf>
    <xf numFmtId="0" fontId="5" fillId="0" borderId="1" xfId="0" applyFont="1" applyBorder="1" applyAlignment="1">
      <alignment vertical="top" wrapText="1"/>
    </xf>
    <xf numFmtId="0" fontId="6" fillId="0" borderId="1" xfId="0" applyFont="1" applyBorder="1" applyAlignment="1">
      <alignment vertical="top" wrapText="1"/>
    </xf>
    <xf numFmtId="0" fontId="6" fillId="0" borderId="0" xfId="0" applyFont="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3" fontId="9" fillId="0" borderId="1" xfId="0" applyNumberFormat="1" applyFont="1" applyBorder="1" applyAlignment="1">
      <alignment vertical="top" wrapText="1"/>
    </xf>
    <xf numFmtId="3" fontId="6" fillId="0" borderId="1" xfId="0" applyNumberFormat="1" applyFont="1" applyBorder="1" applyAlignment="1">
      <alignment vertical="top" wrapText="1"/>
    </xf>
    <xf numFmtId="164" fontId="9" fillId="0" borderId="1" xfId="0" applyNumberFormat="1" applyFont="1" applyBorder="1" applyAlignment="1">
      <alignment vertical="top" wrapText="1"/>
    </xf>
    <xf numFmtId="164" fontId="6" fillId="0" borderId="1" xfId="0" applyNumberFormat="1" applyFont="1" applyBorder="1" applyAlignment="1">
      <alignment vertical="top" wrapText="1"/>
    </xf>
    <xf numFmtId="10" fontId="6" fillId="0" borderId="1" xfId="0" applyNumberFormat="1" applyFont="1" applyBorder="1" applyAlignment="1">
      <alignment vertical="top" wrapText="1"/>
    </xf>
    <xf numFmtId="10" fontId="9" fillId="0" borderId="1" xfId="0" applyNumberFormat="1" applyFont="1" applyBorder="1" applyAlignment="1">
      <alignment vertical="top" wrapText="1"/>
    </xf>
    <xf numFmtId="2" fontId="9" fillId="0" borderId="1" xfId="0" applyNumberFormat="1" applyFont="1" applyBorder="1" applyAlignment="1">
      <alignment vertical="top" wrapText="1"/>
    </xf>
    <xf numFmtId="9" fontId="6" fillId="0" borderId="1" xfId="0" applyNumberFormat="1" applyFont="1" applyBorder="1" applyAlignment="1">
      <alignment vertical="top" wrapText="1"/>
    </xf>
    <xf numFmtId="165" fontId="9" fillId="0" borderId="1" xfId="0" applyNumberFormat="1" applyFont="1" applyBorder="1" applyAlignment="1">
      <alignment vertical="top" wrapText="1"/>
    </xf>
    <xf numFmtId="0" fontId="5" fillId="0" borderId="0" xfId="0" applyFont="1" applyAlignment="1">
      <alignment vertical="top" wrapText="1"/>
    </xf>
    <xf numFmtId="0" fontId="6" fillId="4" borderId="1" xfId="0" applyFont="1" applyFill="1" applyBorder="1" applyAlignment="1">
      <alignment vertical="top" wrapText="1"/>
    </xf>
    <xf numFmtId="3" fontId="9" fillId="4" borderId="1" xfId="0" applyNumberFormat="1" applyFont="1" applyFill="1" applyBorder="1" applyAlignment="1">
      <alignment vertical="top" wrapText="1"/>
    </xf>
    <xf numFmtId="164" fontId="9" fillId="4" borderId="1" xfId="0" applyNumberFormat="1" applyFont="1" applyFill="1" applyBorder="1" applyAlignment="1">
      <alignment vertical="top" wrapText="1"/>
    </xf>
    <xf numFmtId="3" fontId="6" fillId="4" borderId="1" xfId="0" applyNumberFormat="1" applyFont="1" applyFill="1" applyBorder="1" applyAlignment="1">
      <alignment vertical="top" wrapText="1"/>
    </xf>
    <xf numFmtId="164" fontId="6" fillId="4" borderId="1" xfId="0" applyNumberFormat="1" applyFont="1" applyFill="1" applyBorder="1" applyAlignment="1">
      <alignment vertical="top" wrapText="1"/>
    </xf>
    <xf numFmtId="10" fontId="6" fillId="4" borderId="1" xfId="0" applyNumberFormat="1" applyFont="1" applyFill="1" applyBorder="1" applyAlignment="1">
      <alignment vertical="top" wrapText="1"/>
    </xf>
    <xf numFmtId="10" fontId="9" fillId="4" borderId="1" xfId="0" applyNumberFormat="1" applyFont="1" applyFill="1" applyBorder="1" applyAlignment="1">
      <alignment vertical="top" wrapText="1"/>
    </xf>
    <xf numFmtId="1" fontId="6" fillId="4" borderId="1" xfId="0" applyNumberFormat="1" applyFont="1" applyFill="1" applyBorder="1" applyAlignment="1">
      <alignment vertical="top" wrapText="1"/>
    </xf>
    <xf numFmtId="1" fontId="6" fillId="0" borderId="1" xfId="0" applyNumberFormat="1" applyFont="1" applyBorder="1" applyAlignment="1">
      <alignment vertical="top" wrapText="1"/>
    </xf>
    <xf numFmtId="9" fontId="6" fillId="4" borderId="1" xfId="0" applyNumberFormat="1" applyFont="1" applyFill="1" applyBorder="1" applyAlignment="1">
      <alignment vertical="top" wrapText="1"/>
    </xf>
    <xf numFmtId="2" fontId="9" fillId="4" borderId="1" xfId="0" applyNumberFormat="1" applyFont="1" applyFill="1" applyBorder="1" applyAlignment="1">
      <alignment vertical="top" wrapText="1"/>
    </xf>
    <xf numFmtId="0" fontId="9" fillId="4" borderId="1" xfId="0" applyFont="1" applyFill="1" applyBorder="1" applyAlignment="1">
      <alignment vertical="top" wrapText="1"/>
    </xf>
    <xf numFmtId="0" fontId="9" fillId="0" borderId="1" xfId="0" applyFont="1" applyBorder="1" applyAlignment="1">
      <alignment vertical="top" wrapText="1"/>
    </xf>
    <xf numFmtId="0" fontId="5" fillId="4" borderId="1" xfId="0" applyFont="1" applyFill="1" applyBorder="1" applyAlignment="1">
      <alignment vertical="top" wrapText="1"/>
    </xf>
    <xf numFmtId="165" fontId="9" fillId="5" borderId="1" xfId="0" applyNumberFormat="1" applyFont="1" applyFill="1" applyBorder="1" applyAlignment="1">
      <alignment vertical="top" wrapText="1"/>
    </xf>
    <xf numFmtId="165" fontId="9" fillId="6" borderId="1" xfId="0" applyNumberFormat="1" applyFont="1" applyFill="1" applyBorder="1" applyAlignment="1">
      <alignment vertical="top" wrapText="1"/>
    </xf>
    <xf numFmtId="165" fontId="9" fillId="7" borderId="1" xfId="0" applyNumberFormat="1" applyFont="1" applyFill="1" applyBorder="1" applyAlignment="1">
      <alignment vertical="top" wrapText="1"/>
    </xf>
    <xf numFmtId="9" fontId="9" fillId="0" borderId="1" xfId="0" applyNumberFormat="1" applyFont="1" applyBorder="1" applyAlignment="1">
      <alignment vertical="top" wrapText="1"/>
    </xf>
    <xf numFmtId="0" fontId="6" fillId="5" borderId="1" xfId="0" applyFont="1" applyFill="1" applyBorder="1" applyAlignment="1">
      <alignment vertical="top" wrapText="1"/>
    </xf>
    <xf numFmtId="0" fontId="6" fillId="8" borderId="1" xfId="0" applyFont="1" applyFill="1" applyBorder="1" applyAlignment="1">
      <alignment vertical="top" wrapText="1"/>
    </xf>
    <xf numFmtId="0" fontId="10" fillId="0" borderId="1" xfId="0" applyFont="1" applyBorder="1" applyAlignment="1">
      <alignment vertical="top" wrapText="1"/>
    </xf>
    <xf numFmtId="165" fontId="6" fillId="0" borderId="1" xfId="0" applyNumberFormat="1" applyFont="1" applyBorder="1" applyAlignment="1">
      <alignment vertical="top" wrapText="1"/>
    </xf>
    <xf numFmtId="0" fontId="4" fillId="3" borderId="0" xfId="0" applyFont="1" applyFill="1" applyAlignment="1">
      <alignment vertical="center" wrapText="1"/>
    </xf>
    <xf numFmtId="0" fontId="6" fillId="0" borderId="0" xfId="0" applyFont="1"/>
    <xf numFmtId="3" fontId="6" fillId="0" borderId="0" xfId="0" applyNumberFormat="1" applyFont="1"/>
    <xf numFmtId="10" fontId="6" fillId="0" borderId="0" xfId="0" applyNumberFormat="1" applyFont="1"/>
    <xf numFmtId="2" fontId="6" fillId="0" borderId="0" xfId="0" applyNumberFormat="1" applyFont="1"/>
    <xf numFmtId="0" fontId="7" fillId="0" borderId="0" xfId="0" applyFont="1"/>
    <xf numFmtId="0" fontId="4" fillId="3" borderId="0" xfId="0" applyFont="1" applyFill="1"/>
    <xf numFmtId="0" fontId="6" fillId="0" borderId="0" xfId="0" applyFont="1" applyAlignment="1">
      <alignment vertical="top"/>
    </xf>
    <xf numFmtId="0" fontId="6" fillId="0" borderId="0" xfId="0" applyFont="1" applyAlignment="1">
      <alignment vertical="top" wrapText="1"/>
    </xf>
    <xf numFmtId="0" fontId="0" fillId="0" borderId="0" xfId="0"/>
    <xf numFmtId="0" fontId="6" fillId="0" borderId="1" xfId="0" applyFont="1" applyBorder="1" applyAlignment="1">
      <alignment vertical="top" wrapText="1"/>
    </xf>
    <xf numFmtId="0" fontId="0" fillId="0" borderId="2" xfId="0" applyBorder="1"/>
    <xf numFmtId="0" fontId="0" fillId="0" borderId="3" xfId="0" applyBorder="1"/>
    <xf numFmtId="0" fontId="10"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ocialmediatoday.com/news/instagram-shares-algorithm-2025/738034/" TargetMode="External"/><Relationship Id="rId3" Type="http://schemas.openxmlformats.org/officeDocument/2006/relationships/hyperlink" Target="https://www.socialinsider.io/blog/instagram-hashtag-study/" TargetMode="External"/><Relationship Id="rId7" Type="http://schemas.openxmlformats.org/officeDocument/2006/relationships/hyperlink" Target="https://www.socialinsider.io/social-media-benchmarks/tiktok" TargetMode="External"/><Relationship Id="rId2" Type="http://schemas.openxmlformats.org/officeDocument/2006/relationships/hyperlink" Target="https://www.pewresearch.org/internet/2025/11/20/americans-social-media-use-2025/" TargetMode="External"/><Relationship Id="rId1" Type="http://schemas.openxmlformats.org/officeDocument/2006/relationships/hyperlink" Target="https://www.pewresearch.org/internet/fact-sheet/social-media/" TargetMode="External"/><Relationship Id="rId6" Type="http://schemas.openxmlformats.org/officeDocument/2006/relationships/hyperlink" Target="https://pages.dashsocial.com/hubfs/social-media-benchmark/2025/H2/health-wellness-industry.pdf" TargetMode="External"/><Relationship Id="rId5" Type="http://schemas.openxmlformats.org/officeDocument/2006/relationships/hyperlink" Target="https://blog.hootsuite.com/healthcare-social-media/" TargetMode="External"/><Relationship Id="rId4" Type="http://schemas.openxmlformats.org/officeDocument/2006/relationships/hyperlink" Target="https://www.socialinsider.io/social-media-benchmarks/faceboo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instagram.com/p/DU4GMbLCk-z/" TargetMode="External"/><Relationship Id="rId13" Type="http://schemas.openxmlformats.org/officeDocument/2006/relationships/hyperlink" Target="https://www.instagram.com/p/DdSDpZZRhHV/" TargetMode="External"/><Relationship Id="rId3" Type="http://schemas.openxmlformats.org/officeDocument/2006/relationships/hyperlink" Target="https://www.instagram.com/p/DZhnKa_KOYh/" TargetMode="External"/><Relationship Id="rId7" Type="http://schemas.openxmlformats.org/officeDocument/2006/relationships/hyperlink" Target="https://www.instagram.com/p/DaOdw9jiTCP/" TargetMode="External"/><Relationship Id="rId12" Type="http://schemas.openxmlformats.org/officeDocument/2006/relationships/hyperlink" Target="https://www.instagram.com/p/Ddbh3dUqDEV/" TargetMode="External"/><Relationship Id="rId2" Type="http://schemas.openxmlformats.org/officeDocument/2006/relationships/hyperlink" Target="https://www.instagram.com/p/DZdkaz6CbIU/" TargetMode="External"/><Relationship Id="rId1" Type="http://schemas.openxmlformats.org/officeDocument/2006/relationships/hyperlink" Target="https://www.instagram.com/p/DVzZIxYiujh/" TargetMode="External"/><Relationship Id="rId6" Type="http://schemas.openxmlformats.org/officeDocument/2006/relationships/hyperlink" Target="https://www.instagram.com/p/DU9SOSfivJW/" TargetMode="External"/><Relationship Id="rId11" Type="http://schemas.openxmlformats.org/officeDocument/2006/relationships/hyperlink" Target="https://www.instagram.com/p/DWByToBDggd/" TargetMode="External"/><Relationship Id="rId5" Type="http://schemas.openxmlformats.org/officeDocument/2006/relationships/hyperlink" Target="https://www.instagram.com/p/DVMuvjICvHg/" TargetMode="External"/><Relationship Id="rId15" Type="http://schemas.openxmlformats.org/officeDocument/2006/relationships/hyperlink" Target="https://www.instagram.com/p/Davz0-Wx_2U/" TargetMode="External"/><Relationship Id="rId10" Type="http://schemas.openxmlformats.org/officeDocument/2006/relationships/hyperlink" Target="https://www.instagram.com/p/Ddj8E6dR8TI/" TargetMode="External"/><Relationship Id="rId4" Type="http://schemas.openxmlformats.org/officeDocument/2006/relationships/hyperlink" Target="https://www.instagram.com/p/DZV0RIzlj_W/" TargetMode="External"/><Relationship Id="rId9" Type="http://schemas.openxmlformats.org/officeDocument/2006/relationships/hyperlink" Target="https://www.instagram.com/p/DeNSQXoxClk/" TargetMode="External"/><Relationship Id="rId14" Type="http://schemas.openxmlformats.org/officeDocument/2006/relationships/hyperlink" Target="https://www.instagram.com/p/DbQm6uVjHb7/"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instagram.com/p/DXXUplAjxAB/" TargetMode="External"/><Relationship Id="rId13" Type="http://schemas.openxmlformats.org/officeDocument/2006/relationships/hyperlink" Target="https://www.instagram.com/p/DdUXxspJ2Ip/" TargetMode="External"/><Relationship Id="rId3" Type="http://schemas.openxmlformats.org/officeDocument/2006/relationships/hyperlink" Target="https://www.instagram.com/p/DZhnKa_KOYh/" TargetMode="External"/><Relationship Id="rId7" Type="http://schemas.openxmlformats.org/officeDocument/2006/relationships/hyperlink" Target="https://www.instagram.com/p/DW4iDiPDzKJ/" TargetMode="External"/><Relationship Id="rId12" Type="http://schemas.openxmlformats.org/officeDocument/2006/relationships/hyperlink" Target="https://www.instagram.com/p/DWPemtkEqIm9EGjLThT8qWN0qiNxZZRpwXXm7M0/" TargetMode="External"/><Relationship Id="rId2" Type="http://schemas.openxmlformats.org/officeDocument/2006/relationships/hyperlink" Target="https://www.instagram.com/p/DZdkaz6CbIU/" TargetMode="External"/><Relationship Id="rId1" Type="http://schemas.openxmlformats.org/officeDocument/2006/relationships/hyperlink" Target="https://www.instagram.com/p/DVzZIxYiujh/" TargetMode="External"/><Relationship Id="rId6" Type="http://schemas.openxmlformats.org/officeDocument/2006/relationships/hyperlink" Target="https://www.instagram.com/p/DXhh0hWjYR8/" TargetMode="External"/><Relationship Id="rId11" Type="http://schemas.openxmlformats.org/officeDocument/2006/relationships/hyperlink" Target="https://www.instagram.com/p/DZvPmsdFSU1/" TargetMode="External"/><Relationship Id="rId5" Type="http://schemas.openxmlformats.org/officeDocument/2006/relationships/hyperlink" Target="https://www.instagram.com/p/Ddmpt3biaFL/" TargetMode="External"/><Relationship Id="rId15" Type="http://schemas.openxmlformats.org/officeDocument/2006/relationships/hyperlink" Target="https://www.instagram.com/p/Ddt-noRuhxE/" TargetMode="External"/><Relationship Id="rId10" Type="http://schemas.openxmlformats.org/officeDocument/2006/relationships/hyperlink" Target="https://www.instagram.com/p/DcOWyNuo1de/" TargetMode="External"/><Relationship Id="rId4" Type="http://schemas.openxmlformats.org/officeDocument/2006/relationships/hyperlink" Target="https://www.instagram.com/p/DU9JmsmD9sC/" TargetMode="External"/><Relationship Id="rId9" Type="http://schemas.openxmlformats.org/officeDocument/2006/relationships/hyperlink" Target="https://www.instagram.com/p/DdB9bmdkjLV/" TargetMode="External"/><Relationship Id="rId14" Type="http://schemas.openxmlformats.org/officeDocument/2006/relationships/hyperlink" Target="https://www.instagram.com/p/DdcGv3LppNt/" TargetMode="External"/></Relationships>
</file>

<file path=xl/worksheets/_rels/sheet15.xml.rels><?xml version="1.0" encoding="UTF-8" standalone="yes"?>
<Relationships xmlns="http://schemas.openxmlformats.org/package/2006/relationships"><Relationship Id="rId117" Type="http://schemas.openxmlformats.org/officeDocument/2006/relationships/hyperlink" Target="https://www.instagram.com/p/Ddmpt3biaFL/" TargetMode="External"/><Relationship Id="rId21" Type="http://schemas.openxmlformats.org/officeDocument/2006/relationships/hyperlink" Target="https://www.instagram.com/p/DdCOZcdqUgU/" TargetMode="External"/><Relationship Id="rId324" Type="http://schemas.openxmlformats.org/officeDocument/2006/relationships/hyperlink" Target="https://www.instagram.com/p/DeNlNvQDOHf/" TargetMode="External"/><Relationship Id="rId531" Type="http://schemas.openxmlformats.org/officeDocument/2006/relationships/hyperlink" Target="https://www.instagram.com/p/Dcldq_cxdjs/" TargetMode="External"/><Relationship Id="rId170" Type="http://schemas.openxmlformats.org/officeDocument/2006/relationships/hyperlink" Target="https://www.instagram.com/p/DXpkMNgDwWH/" TargetMode="External"/><Relationship Id="rId268" Type="http://schemas.openxmlformats.org/officeDocument/2006/relationships/hyperlink" Target="https://www.instagram.com/p/DZ7lRfCHIzl/" TargetMode="External"/><Relationship Id="rId475" Type="http://schemas.openxmlformats.org/officeDocument/2006/relationships/hyperlink" Target="https://www.instagram.com/p/Dd4D9rAEb5Z/" TargetMode="External"/><Relationship Id="rId32" Type="http://schemas.openxmlformats.org/officeDocument/2006/relationships/hyperlink" Target="https://www.instagram.com/p/DcJ5m21k-HH/" TargetMode="External"/><Relationship Id="rId128" Type="http://schemas.openxmlformats.org/officeDocument/2006/relationships/hyperlink" Target="https://www.instagram.com/p/DcejaIfgUYQ/" TargetMode="External"/><Relationship Id="rId335" Type="http://schemas.openxmlformats.org/officeDocument/2006/relationships/hyperlink" Target="https://www.instagram.com/p/Ddbm28IjYqM/" TargetMode="External"/><Relationship Id="rId181" Type="http://schemas.openxmlformats.org/officeDocument/2006/relationships/hyperlink" Target="https://www.instagram.com/p/DWcbIMcDDas/" TargetMode="External"/><Relationship Id="rId402" Type="http://schemas.openxmlformats.org/officeDocument/2006/relationships/hyperlink" Target="https://www.instagram.com/p/DXcLrPak7SL/" TargetMode="External"/><Relationship Id="rId279" Type="http://schemas.openxmlformats.org/officeDocument/2006/relationships/hyperlink" Target="https://www.instagram.com/p/DZFq3zDDNau/" TargetMode="External"/><Relationship Id="rId444" Type="http://schemas.openxmlformats.org/officeDocument/2006/relationships/hyperlink" Target="https://www.instagram.com/p/DeRrwezxYWh/" TargetMode="External"/><Relationship Id="rId486" Type="http://schemas.openxmlformats.org/officeDocument/2006/relationships/hyperlink" Target="https://www.instagram.com/p/Ddq0GonRxQA/" TargetMode="External"/><Relationship Id="rId43" Type="http://schemas.openxmlformats.org/officeDocument/2006/relationships/hyperlink" Target="https://www.instagram.com/p/Da0_z7AR3lX/" TargetMode="External"/><Relationship Id="rId139" Type="http://schemas.openxmlformats.org/officeDocument/2006/relationships/hyperlink" Target="https://www.instagram.com/p/DbHAW5llytp/" TargetMode="External"/><Relationship Id="rId290" Type="http://schemas.openxmlformats.org/officeDocument/2006/relationships/hyperlink" Target="https://www.instagram.com/p/DYNSjTujpuF/" TargetMode="External"/><Relationship Id="rId304" Type="http://schemas.openxmlformats.org/officeDocument/2006/relationships/hyperlink" Target="https://www.instagram.com/p/DW9nQOGhC4O/" TargetMode="External"/><Relationship Id="rId346" Type="http://schemas.openxmlformats.org/officeDocument/2006/relationships/hyperlink" Target="https://www.instagram.com/p/Dci9Ra5E3a9/" TargetMode="External"/><Relationship Id="rId388" Type="http://schemas.openxmlformats.org/officeDocument/2006/relationships/hyperlink" Target="https://www.instagram.com/p/DYXDiM0DoH_/" TargetMode="External"/><Relationship Id="rId511" Type="http://schemas.openxmlformats.org/officeDocument/2006/relationships/hyperlink" Target="https://www.instagram.com/p/DdJz5i6Rkke/" TargetMode="External"/><Relationship Id="rId85" Type="http://schemas.openxmlformats.org/officeDocument/2006/relationships/hyperlink" Target="https://www.instagram.com/p/DWhxOMECpGJ/" TargetMode="External"/><Relationship Id="rId150" Type="http://schemas.openxmlformats.org/officeDocument/2006/relationships/hyperlink" Target="https://www.instagram.com/p/DZvdV1ziSFp/" TargetMode="External"/><Relationship Id="rId192" Type="http://schemas.openxmlformats.org/officeDocument/2006/relationships/hyperlink" Target="https://www.instagram.com/p/DVen8a6DK-X/" TargetMode="External"/><Relationship Id="rId206" Type="http://schemas.openxmlformats.org/officeDocument/2006/relationships/hyperlink" Target="https://www.instagram.com/p/DUHE6gxjTRm/" TargetMode="External"/><Relationship Id="rId413" Type="http://schemas.openxmlformats.org/officeDocument/2006/relationships/hyperlink" Target="https://www.instagram.com/p/DWl3k5bDdGr/" TargetMode="External"/><Relationship Id="rId248" Type="http://schemas.openxmlformats.org/officeDocument/2006/relationships/hyperlink" Target="https://www.instagram.com/p/Dbn2hucDEu6/" TargetMode="External"/><Relationship Id="rId455" Type="http://schemas.openxmlformats.org/officeDocument/2006/relationships/hyperlink" Target="https://www.instagram.com/p/DeKkbNaGRnS/" TargetMode="External"/><Relationship Id="rId497" Type="http://schemas.openxmlformats.org/officeDocument/2006/relationships/hyperlink" Target="https://www.instagram.com/p/Ddbq8ltRGZu/" TargetMode="External"/><Relationship Id="rId12" Type="http://schemas.openxmlformats.org/officeDocument/2006/relationships/hyperlink" Target="https://www.instagram.com/p/DdezwfhRSJW/" TargetMode="External"/><Relationship Id="rId108" Type="http://schemas.openxmlformats.org/officeDocument/2006/relationships/hyperlink" Target="https://www.instagram.com/p/DU4GMbLCk-z/" TargetMode="External"/><Relationship Id="rId315" Type="http://schemas.openxmlformats.org/officeDocument/2006/relationships/hyperlink" Target="https://www.instagram.com/p/DWEtlYzjSib/" TargetMode="External"/><Relationship Id="rId357" Type="http://schemas.openxmlformats.org/officeDocument/2006/relationships/hyperlink" Target="https://www.instagram.com/p/DbqTomgE5ZZ/" TargetMode="External"/><Relationship Id="rId522" Type="http://schemas.openxmlformats.org/officeDocument/2006/relationships/hyperlink" Target="https://www.instagram.com/p/Dc3Z3Ovx3ly/" TargetMode="External"/><Relationship Id="rId54" Type="http://schemas.openxmlformats.org/officeDocument/2006/relationships/hyperlink" Target="https://www.instagram.com/p/DaD5jXeRWux/" TargetMode="External"/><Relationship Id="rId96" Type="http://schemas.openxmlformats.org/officeDocument/2006/relationships/hyperlink" Target="https://www.instagram.com/p/DVXC8jfit_a/" TargetMode="External"/><Relationship Id="rId161" Type="http://schemas.openxmlformats.org/officeDocument/2006/relationships/hyperlink" Target="https://www.instagram.com/p/DYiNleSDQIc/" TargetMode="External"/><Relationship Id="rId217" Type="http://schemas.openxmlformats.org/officeDocument/2006/relationships/hyperlink" Target="https://www.instagram.com/p/Dd9dAr1m_Te/" TargetMode="External"/><Relationship Id="rId399" Type="http://schemas.openxmlformats.org/officeDocument/2006/relationships/hyperlink" Target="https://www.instagram.com/p/DXrZH4SH3EX/" TargetMode="External"/><Relationship Id="rId259" Type="http://schemas.openxmlformats.org/officeDocument/2006/relationships/hyperlink" Target="https://www.instagram.com/p/DanTXFenR87/" TargetMode="External"/><Relationship Id="rId424" Type="http://schemas.openxmlformats.org/officeDocument/2006/relationships/hyperlink" Target="https://www.instagram.com/p/DV08mmDFtIV/" TargetMode="External"/><Relationship Id="rId466" Type="http://schemas.openxmlformats.org/officeDocument/2006/relationships/hyperlink" Target="https://www.instagram.com/p/Dd9fJkxB6Es/" TargetMode="External"/><Relationship Id="rId23" Type="http://schemas.openxmlformats.org/officeDocument/2006/relationships/hyperlink" Target="https://www.instagram.com/p/Dc4VbtFRcSN/" TargetMode="External"/><Relationship Id="rId119" Type="http://schemas.openxmlformats.org/officeDocument/2006/relationships/hyperlink" Target="https://www.instagram.com/p/DdZxtdfjdMs/" TargetMode="External"/><Relationship Id="rId270" Type="http://schemas.openxmlformats.org/officeDocument/2006/relationships/hyperlink" Target="https://www.instagram.com/p/DZvB8WyAcSQ/" TargetMode="External"/><Relationship Id="rId326" Type="http://schemas.openxmlformats.org/officeDocument/2006/relationships/hyperlink" Target="https://www.instagram.com/p/DeJ9PflAUbR/" TargetMode="External"/><Relationship Id="rId533" Type="http://schemas.openxmlformats.org/officeDocument/2006/relationships/hyperlink" Target="https://www.instagram.com/p/DcgtZ74xin_/" TargetMode="External"/><Relationship Id="rId65" Type="http://schemas.openxmlformats.org/officeDocument/2006/relationships/hyperlink" Target="https://www.instagram.com/p/DZV0RIzlj_W/" TargetMode="External"/><Relationship Id="rId130" Type="http://schemas.openxmlformats.org/officeDocument/2006/relationships/hyperlink" Target="https://www.instagram.com/p/DcRrbR-DdEA/" TargetMode="External"/><Relationship Id="rId368" Type="http://schemas.openxmlformats.org/officeDocument/2006/relationships/hyperlink" Target="https://www.instagram.com/p/DZuvqQnjf-A/" TargetMode="External"/><Relationship Id="rId172" Type="http://schemas.openxmlformats.org/officeDocument/2006/relationships/hyperlink" Target="https://www.instagram.com/p/DXfXtF_iT0z/" TargetMode="External"/><Relationship Id="rId228" Type="http://schemas.openxmlformats.org/officeDocument/2006/relationships/hyperlink" Target="https://www.instagram.com/p/Dc_Zn-WkVVo/" TargetMode="External"/><Relationship Id="rId435" Type="http://schemas.openxmlformats.org/officeDocument/2006/relationships/hyperlink" Target="https://www.instagram.com/p/DeZPOxxBpZs/" TargetMode="External"/><Relationship Id="rId477" Type="http://schemas.openxmlformats.org/officeDocument/2006/relationships/hyperlink" Target="https://www.instagram.com/p/Dd3yKpGx-dq/" TargetMode="External"/><Relationship Id="rId281" Type="http://schemas.openxmlformats.org/officeDocument/2006/relationships/hyperlink" Target="https://www.instagram.com/p/DY42XaFDFZN/" TargetMode="External"/><Relationship Id="rId337" Type="http://schemas.openxmlformats.org/officeDocument/2006/relationships/hyperlink" Target="https://www.instagram.com/p/DdT4g74CQmg/" TargetMode="External"/><Relationship Id="rId502" Type="http://schemas.openxmlformats.org/officeDocument/2006/relationships/hyperlink" Target="https://www.instagram.com/p/DdWhvpgR_f6/" TargetMode="External"/><Relationship Id="rId34" Type="http://schemas.openxmlformats.org/officeDocument/2006/relationships/hyperlink" Target="https://www.instagram.com/p/DcCHuGpkVuo/" TargetMode="External"/><Relationship Id="rId76" Type="http://schemas.openxmlformats.org/officeDocument/2006/relationships/hyperlink" Target="https://www.instagram.com/p/DXXmn34Kg3A/" TargetMode="External"/><Relationship Id="rId141" Type="http://schemas.openxmlformats.org/officeDocument/2006/relationships/hyperlink" Target="https://www.instagram.com/p/DbBFZtzCozR/" TargetMode="External"/><Relationship Id="rId379" Type="http://schemas.openxmlformats.org/officeDocument/2006/relationships/hyperlink" Target="https://www.instagram.com/p/DZDXQzOmgig/" TargetMode="External"/><Relationship Id="rId7" Type="http://schemas.openxmlformats.org/officeDocument/2006/relationships/hyperlink" Target="https://www.instagram.com/p/Dd4CaQgK_i_/" TargetMode="External"/><Relationship Id="rId183" Type="http://schemas.openxmlformats.org/officeDocument/2006/relationships/hyperlink" Target="https://www.instagram.com/p/DWPJnaRioWI/" TargetMode="External"/><Relationship Id="rId239" Type="http://schemas.openxmlformats.org/officeDocument/2006/relationships/hyperlink" Target="https://www.instagram.com/p/DcRC9UFE2Bb/" TargetMode="External"/><Relationship Id="rId390" Type="http://schemas.openxmlformats.org/officeDocument/2006/relationships/hyperlink" Target="https://www.instagram.com/p/DYSB20kFfeR/" TargetMode="External"/><Relationship Id="rId404" Type="http://schemas.openxmlformats.org/officeDocument/2006/relationships/hyperlink" Target="https://www.instagram.com/p/DXMfk8nDNn7/" TargetMode="External"/><Relationship Id="rId446" Type="http://schemas.openxmlformats.org/officeDocument/2006/relationships/hyperlink" Target="https://www.instagram.com/p/DePezQHRZmp/" TargetMode="External"/><Relationship Id="rId250" Type="http://schemas.openxmlformats.org/officeDocument/2006/relationships/hyperlink" Target="https://www.instagram.com/p/Dbdsmk_gOCm/" TargetMode="External"/><Relationship Id="rId292" Type="http://schemas.openxmlformats.org/officeDocument/2006/relationships/hyperlink" Target="https://www.instagram.com/p/DYC4i30CcUi/" TargetMode="External"/><Relationship Id="rId306" Type="http://schemas.openxmlformats.org/officeDocument/2006/relationships/hyperlink" Target="https://www.instagram.com/p/DW4iDiPDzKJ/" TargetMode="External"/><Relationship Id="rId488" Type="http://schemas.openxmlformats.org/officeDocument/2006/relationships/hyperlink" Target="https://www.instagram.com/p/DdoUtz5x_w7/" TargetMode="External"/><Relationship Id="rId45" Type="http://schemas.openxmlformats.org/officeDocument/2006/relationships/hyperlink" Target="https://www.instagram.com/p/DaoKWQCxVJg/" TargetMode="External"/><Relationship Id="rId87" Type="http://schemas.openxmlformats.org/officeDocument/2006/relationships/hyperlink" Target="https://www.instagram.com/p/DWXd7PmKoCC/" TargetMode="External"/><Relationship Id="rId110" Type="http://schemas.openxmlformats.org/officeDocument/2006/relationships/hyperlink" Target="https://www.instagram.com/p/DeSbQK_gbL1/" TargetMode="External"/><Relationship Id="rId348" Type="http://schemas.openxmlformats.org/officeDocument/2006/relationships/hyperlink" Target="https://www.instagram.com/p/DcdzWt7lWNc/" TargetMode="External"/><Relationship Id="rId513" Type="http://schemas.openxmlformats.org/officeDocument/2006/relationships/hyperlink" Target="https://www.instagram.com/p/DdG0Gtix-DC/" TargetMode="External"/><Relationship Id="rId152" Type="http://schemas.openxmlformats.org/officeDocument/2006/relationships/hyperlink" Target="https://www.instagram.com/p/DZilXI5DWg7/" TargetMode="External"/><Relationship Id="rId194" Type="http://schemas.openxmlformats.org/officeDocument/2006/relationships/hyperlink" Target="https://www.instagram.com/p/DVZeWKfj9VW/" TargetMode="External"/><Relationship Id="rId208" Type="http://schemas.openxmlformats.org/officeDocument/2006/relationships/hyperlink" Target="https://www.instagram.com/p/DT8eOW0CddK/" TargetMode="External"/><Relationship Id="rId415" Type="http://schemas.openxmlformats.org/officeDocument/2006/relationships/hyperlink" Target="https://www.instagram.com/p/DWg7OFqFdc7/" TargetMode="External"/><Relationship Id="rId457" Type="http://schemas.openxmlformats.org/officeDocument/2006/relationships/hyperlink" Target="https://www.instagram.com/p/DeJlxqExulg/" TargetMode="External"/><Relationship Id="rId261" Type="http://schemas.openxmlformats.org/officeDocument/2006/relationships/hyperlink" Target="https://www.instagram.com/p/Daih29MD8gI/" TargetMode="External"/><Relationship Id="rId499" Type="http://schemas.openxmlformats.org/officeDocument/2006/relationships/hyperlink" Target="https://www.instagram.com/p/DdZRZYxRlbZ/" TargetMode="External"/><Relationship Id="rId14" Type="http://schemas.openxmlformats.org/officeDocument/2006/relationships/hyperlink" Target="https://www.instagram.com/p/Ddbh3dUqDEV/" TargetMode="External"/><Relationship Id="rId56" Type="http://schemas.openxmlformats.org/officeDocument/2006/relationships/hyperlink" Target="https://www.instagram.com/p/DZ53dAnCS0p/" TargetMode="External"/><Relationship Id="rId317" Type="http://schemas.openxmlformats.org/officeDocument/2006/relationships/hyperlink" Target="https://www.instagram.com/p/DVyzxFrDqyS/" TargetMode="External"/><Relationship Id="rId359" Type="http://schemas.openxmlformats.org/officeDocument/2006/relationships/hyperlink" Target="https://www.instagram.com/p/DbljjKpHxg4/" TargetMode="External"/><Relationship Id="rId524" Type="http://schemas.openxmlformats.org/officeDocument/2006/relationships/hyperlink" Target="https://www.instagram.com/p/Dc03fDhxF3v/" TargetMode="External"/><Relationship Id="rId98" Type="http://schemas.openxmlformats.org/officeDocument/2006/relationships/hyperlink" Target="https://www.instagram.com/p/DVPUX2dipDS/" TargetMode="External"/><Relationship Id="rId121" Type="http://schemas.openxmlformats.org/officeDocument/2006/relationships/hyperlink" Target="https://www.instagram.com/p/DdM5s-ZiDBa/" TargetMode="External"/><Relationship Id="rId163" Type="http://schemas.openxmlformats.org/officeDocument/2006/relationships/hyperlink" Target="https://www.instagram.com/p/DYVVhyFAIrL/" TargetMode="External"/><Relationship Id="rId219" Type="http://schemas.openxmlformats.org/officeDocument/2006/relationships/hyperlink" Target="https://www.instagram.com/p/Ddtu_VfjXQ0/" TargetMode="External"/><Relationship Id="rId370" Type="http://schemas.openxmlformats.org/officeDocument/2006/relationships/hyperlink" Target="https://www.instagram.com/p/DZp6Befn4Uj/" TargetMode="External"/><Relationship Id="rId426" Type="http://schemas.openxmlformats.org/officeDocument/2006/relationships/hyperlink" Target="https://www.instagram.com/p/DVtNzSjDqYq/" TargetMode="External"/><Relationship Id="rId230" Type="http://schemas.openxmlformats.org/officeDocument/2006/relationships/hyperlink" Target="https://www.instagram.com/p/Dc1GBS4GYq-/" TargetMode="External"/><Relationship Id="rId468" Type="http://schemas.openxmlformats.org/officeDocument/2006/relationships/hyperlink" Target="https://www.instagram.com/p/Dd9JG3AEXEF/" TargetMode="External"/><Relationship Id="rId25" Type="http://schemas.openxmlformats.org/officeDocument/2006/relationships/hyperlink" Target="https://www.instagram.com/p/DcrPVTMRxq2/" TargetMode="External"/><Relationship Id="rId67" Type="http://schemas.openxmlformats.org/officeDocument/2006/relationships/hyperlink" Target="https://www.instagram.com/p/DY0A9SYqHsi/" TargetMode="External"/><Relationship Id="rId272" Type="http://schemas.openxmlformats.org/officeDocument/2006/relationships/hyperlink" Target="https://www.instagram.com/p/DZfVoQcxgGi/" TargetMode="External"/><Relationship Id="rId328" Type="http://schemas.openxmlformats.org/officeDocument/2006/relationships/hyperlink" Target="https://www.instagram.com/p/Dd6gPRtDvta/" TargetMode="External"/><Relationship Id="rId535" Type="http://schemas.openxmlformats.org/officeDocument/2006/relationships/hyperlink" Target="https://www.instagram.com/p/DcedMOoPaP2/" TargetMode="External"/><Relationship Id="rId132" Type="http://schemas.openxmlformats.org/officeDocument/2006/relationships/hyperlink" Target="https://www.instagram.com/p/DcCOoxBj7FX/" TargetMode="External"/><Relationship Id="rId174" Type="http://schemas.openxmlformats.org/officeDocument/2006/relationships/hyperlink" Target="https://www.instagram.com/p/DXXbpdjDfez/" TargetMode="External"/><Relationship Id="rId381" Type="http://schemas.openxmlformats.org/officeDocument/2006/relationships/hyperlink" Target="https://www.instagram.com/p/DY4ovYgk5xz/" TargetMode="External"/><Relationship Id="rId241" Type="http://schemas.openxmlformats.org/officeDocument/2006/relationships/hyperlink" Target="https://www.instagram.com/p/DcJazIRD9CY/" TargetMode="External"/><Relationship Id="rId437" Type="http://schemas.openxmlformats.org/officeDocument/2006/relationships/hyperlink" Target="https://www.instagram.com/p/DeS5fh7ib_J/" TargetMode="External"/><Relationship Id="rId479" Type="http://schemas.openxmlformats.org/officeDocument/2006/relationships/hyperlink" Target="https://www.instagram.com/p/DdzEb7ZRxNX/" TargetMode="External"/><Relationship Id="rId36" Type="http://schemas.openxmlformats.org/officeDocument/2006/relationships/hyperlink" Target="https://www.instagram.com/p/DbwMnCKxItM/" TargetMode="External"/><Relationship Id="rId283" Type="http://schemas.openxmlformats.org/officeDocument/2006/relationships/hyperlink" Target="https://www.instagram.com/p/DYpOM5ggh3R/" TargetMode="External"/><Relationship Id="rId339" Type="http://schemas.openxmlformats.org/officeDocument/2006/relationships/hyperlink" Target="https://www.instagram.com/p/DdRTsydERvU/" TargetMode="External"/><Relationship Id="rId490" Type="http://schemas.openxmlformats.org/officeDocument/2006/relationships/hyperlink" Target="https://www.instagram.com/p/Ddmjf9xPqNF/" TargetMode="External"/><Relationship Id="rId504" Type="http://schemas.openxmlformats.org/officeDocument/2006/relationships/hyperlink" Target="https://www.instagram.com/p/DdUXxspJ2Ip/" TargetMode="External"/><Relationship Id="rId78" Type="http://schemas.openxmlformats.org/officeDocument/2006/relationships/hyperlink" Target="https://www.instagram.com/p/DXKwqLwq2Uf/" TargetMode="External"/><Relationship Id="rId101" Type="http://schemas.openxmlformats.org/officeDocument/2006/relationships/hyperlink" Target="https://www.instagram.com/p/DVJ1yEujOeB/" TargetMode="External"/><Relationship Id="rId143" Type="http://schemas.openxmlformats.org/officeDocument/2006/relationships/hyperlink" Target="https://www.instagram.com/p/Da3jmH0jPc8/" TargetMode="External"/><Relationship Id="rId185" Type="http://schemas.openxmlformats.org/officeDocument/2006/relationships/hyperlink" Target="https://www.instagram.com/p/DWH0xa_kWJH/" TargetMode="External"/><Relationship Id="rId350" Type="http://schemas.openxmlformats.org/officeDocument/2006/relationships/hyperlink" Target="https://www.instagram.com/p/DcQ7tpIj-8m/" TargetMode="External"/><Relationship Id="rId406" Type="http://schemas.openxmlformats.org/officeDocument/2006/relationships/hyperlink" Target="https://www.instagram.com/p/DXHV_7gjVJY/" TargetMode="External"/><Relationship Id="rId9" Type="http://schemas.openxmlformats.org/officeDocument/2006/relationships/hyperlink" Target="https://www.instagram.com/p/DduuC2xqHsN/" TargetMode="External"/><Relationship Id="rId210" Type="http://schemas.openxmlformats.org/officeDocument/2006/relationships/hyperlink" Target="https://www.instagram.com/p/DT1DWqeCF6F/" TargetMode="External"/><Relationship Id="rId392" Type="http://schemas.openxmlformats.org/officeDocument/2006/relationships/hyperlink" Target="https://www.instagram.com/p/DYN1Iz_AJt6/" TargetMode="External"/><Relationship Id="rId448" Type="http://schemas.openxmlformats.org/officeDocument/2006/relationships/hyperlink" Target="https://www.instagram.com/p/DePOHSQxx9C/" TargetMode="External"/><Relationship Id="rId252" Type="http://schemas.openxmlformats.org/officeDocument/2006/relationships/hyperlink" Target="https://www.instagram.com/p/DbVi47CFRbm/" TargetMode="External"/><Relationship Id="rId294" Type="http://schemas.openxmlformats.org/officeDocument/2006/relationships/hyperlink" Target="https://www.instagram.com/p/DX9u9D7FYLZ/" TargetMode="External"/><Relationship Id="rId308" Type="http://schemas.openxmlformats.org/officeDocument/2006/relationships/hyperlink" Target="https://www.instagram.com/p/DWochMAF7YB/" TargetMode="External"/><Relationship Id="rId515" Type="http://schemas.openxmlformats.org/officeDocument/2006/relationships/hyperlink" Target="https://www.instagram.com/p/DdEctfGR6qJ/" TargetMode="External"/><Relationship Id="rId47" Type="http://schemas.openxmlformats.org/officeDocument/2006/relationships/hyperlink" Target="https://www.instagram.com/p/Dai4_XnPLKL/" TargetMode="External"/><Relationship Id="rId89" Type="http://schemas.openxmlformats.org/officeDocument/2006/relationships/hyperlink" Target="https://www.instagram.com/p/DWPjFKuKCMs/" TargetMode="External"/><Relationship Id="rId112" Type="http://schemas.openxmlformats.org/officeDocument/2006/relationships/hyperlink" Target="https://www.instagram.com/p/DeFjQmjgVtF/" TargetMode="External"/><Relationship Id="rId154" Type="http://schemas.openxmlformats.org/officeDocument/2006/relationships/hyperlink" Target="https://www.instagram.com/p/DZdbzqoCVnH/" TargetMode="External"/><Relationship Id="rId361" Type="http://schemas.openxmlformats.org/officeDocument/2006/relationships/hyperlink" Target="https://www.instagram.com/p/DbBG4PfDPRt/" TargetMode="External"/><Relationship Id="rId196" Type="http://schemas.openxmlformats.org/officeDocument/2006/relationships/hyperlink" Target="https://www.instagram.com/p/DVRshjqDcEK/" TargetMode="External"/><Relationship Id="rId417" Type="http://schemas.openxmlformats.org/officeDocument/2006/relationships/hyperlink" Target="https://www.instagram.com/p/DWY_h9UgJtF/" TargetMode="External"/><Relationship Id="rId459" Type="http://schemas.openxmlformats.org/officeDocument/2006/relationships/hyperlink" Target="https://www.instagram.com/p/DeHL5cwxF13/" TargetMode="External"/><Relationship Id="rId16" Type="http://schemas.openxmlformats.org/officeDocument/2006/relationships/hyperlink" Target="https://www.instagram.com/p/DdT8DooK7Cq/" TargetMode="External"/><Relationship Id="rId221" Type="http://schemas.openxmlformats.org/officeDocument/2006/relationships/hyperlink" Target="https://www.instagram.com/p/DdmAx6sAJ-6/" TargetMode="External"/><Relationship Id="rId263" Type="http://schemas.openxmlformats.org/officeDocument/2006/relationships/hyperlink" Target="https://www.instagram.com/p/DaasgP9EX6F/" TargetMode="External"/><Relationship Id="rId319" Type="http://schemas.openxmlformats.org/officeDocument/2006/relationships/hyperlink" Target="https://www.instagram.com/p/DVjSZ-ejkrF/" TargetMode="External"/><Relationship Id="rId470" Type="http://schemas.openxmlformats.org/officeDocument/2006/relationships/hyperlink" Target="https://www.instagram.com/p/Dd7QI2Hpwrh/" TargetMode="External"/><Relationship Id="rId526" Type="http://schemas.openxmlformats.org/officeDocument/2006/relationships/hyperlink" Target="https://www.instagram.com/p/DcyWAL2x9VU/" TargetMode="External"/><Relationship Id="rId58" Type="http://schemas.openxmlformats.org/officeDocument/2006/relationships/hyperlink" Target="https://www.instagram.com/p/DZvkLu6CT76/" TargetMode="External"/><Relationship Id="rId123" Type="http://schemas.openxmlformats.org/officeDocument/2006/relationships/hyperlink" Target="https://www.instagram.com/p/Dc9c61-DFp7/" TargetMode="External"/><Relationship Id="rId330" Type="http://schemas.openxmlformats.org/officeDocument/2006/relationships/hyperlink" Target="https://www.instagram.com/p/Dd1WtckF6U7/" TargetMode="External"/><Relationship Id="rId165" Type="http://schemas.openxmlformats.org/officeDocument/2006/relationships/hyperlink" Target="https://www.instagram.com/p/DYIdl07gfNd/" TargetMode="External"/><Relationship Id="rId372" Type="http://schemas.openxmlformats.org/officeDocument/2006/relationships/hyperlink" Target="https://www.instagram.com/p/DZafWB6R2Xg/" TargetMode="External"/><Relationship Id="rId428" Type="http://schemas.openxmlformats.org/officeDocument/2006/relationships/hyperlink" Target="https://www.instagram.com/p/DVqpaqcFCWz/" TargetMode="External"/><Relationship Id="rId232" Type="http://schemas.openxmlformats.org/officeDocument/2006/relationships/hyperlink" Target="https://www.instagram.com/p/Dct5Tf1oxWp/" TargetMode="External"/><Relationship Id="rId274" Type="http://schemas.openxmlformats.org/officeDocument/2006/relationships/hyperlink" Target="https://www.instagram.com/p/DZabgFpHFKO/" TargetMode="External"/><Relationship Id="rId481" Type="http://schemas.openxmlformats.org/officeDocument/2006/relationships/hyperlink" Target="https://www.instagram.com/p/DdvBofnA6TS/" TargetMode="External"/><Relationship Id="rId27" Type="http://schemas.openxmlformats.org/officeDocument/2006/relationships/hyperlink" Target="https://www.instagram.com/p/Dcb9uO6R0uw/" TargetMode="External"/><Relationship Id="rId69" Type="http://schemas.openxmlformats.org/officeDocument/2006/relationships/hyperlink" Target="https://www.instagram.com/p/DYmj2F2qRz8/" TargetMode="External"/><Relationship Id="rId134" Type="http://schemas.openxmlformats.org/officeDocument/2006/relationships/hyperlink" Target="https://www.instagram.com/p/Dbyx4l4jWJM/" TargetMode="External"/><Relationship Id="rId80" Type="http://schemas.openxmlformats.org/officeDocument/2006/relationships/hyperlink" Target="https://www.instagram.com/p/DW91VSOKdFS/" TargetMode="External"/><Relationship Id="rId176" Type="http://schemas.openxmlformats.org/officeDocument/2006/relationships/hyperlink" Target="https://www.instagram.com/p/DXKxbhZjLKt/" TargetMode="External"/><Relationship Id="rId341" Type="http://schemas.openxmlformats.org/officeDocument/2006/relationships/hyperlink" Target="https://www.instagram.com/p/DdEbu5KDkLr/" TargetMode="External"/><Relationship Id="rId383" Type="http://schemas.openxmlformats.org/officeDocument/2006/relationships/hyperlink" Target="https://www.instagram.com/p/DYztCDaFVpb/" TargetMode="External"/><Relationship Id="rId439" Type="http://schemas.openxmlformats.org/officeDocument/2006/relationships/hyperlink" Target="https://www.instagram.com/p/DeSEkW0JY-K/" TargetMode="External"/><Relationship Id="rId201" Type="http://schemas.openxmlformats.org/officeDocument/2006/relationships/hyperlink" Target="https://www.instagram.com/p/DUy2cnmiMHw/" TargetMode="External"/><Relationship Id="rId243" Type="http://schemas.openxmlformats.org/officeDocument/2006/relationships/hyperlink" Target="https://www.instagram.com/p/Db_EcswkmfC/" TargetMode="External"/><Relationship Id="rId285" Type="http://schemas.openxmlformats.org/officeDocument/2006/relationships/hyperlink" Target="https://www.instagram.com/p/DYhyG_2CeBu/" TargetMode="External"/><Relationship Id="rId450" Type="http://schemas.openxmlformats.org/officeDocument/2006/relationships/hyperlink" Target="https://www.instagram.com/p/DeOxVQGFooP/" TargetMode="External"/><Relationship Id="rId506" Type="http://schemas.openxmlformats.org/officeDocument/2006/relationships/hyperlink" Target="https://www.instagram.com/p/DdTtIslxHIt/" TargetMode="External"/><Relationship Id="rId38" Type="http://schemas.openxmlformats.org/officeDocument/2006/relationships/hyperlink" Target="https://www.instagram.com/p/DbfXnVWq8d1/" TargetMode="External"/><Relationship Id="rId103" Type="http://schemas.openxmlformats.org/officeDocument/2006/relationships/hyperlink" Target="https://www.instagram.com/p/DVE_TLsCvaq/" TargetMode="External"/><Relationship Id="rId310" Type="http://schemas.openxmlformats.org/officeDocument/2006/relationships/hyperlink" Target="https://www.instagram.com/p/DWWvHUJD109/" TargetMode="External"/><Relationship Id="rId492" Type="http://schemas.openxmlformats.org/officeDocument/2006/relationships/hyperlink" Target="https://www.instagram.com/p/Ddlu3RxxAd3/" TargetMode="External"/><Relationship Id="rId91" Type="http://schemas.openxmlformats.org/officeDocument/2006/relationships/hyperlink" Target="https://www.instagram.com/p/DWCUovAkecc/" TargetMode="External"/><Relationship Id="rId145" Type="http://schemas.openxmlformats.org/officeDocument/2006/relationships/hyperlink" Target="https://www.instagram.com/p/DagYcB5iEyY/" TargetMode="External"/><Relationship Id="rId187" Type="http://schemas.openxmlformats.org/officeDocument/2006/relationships/hyperlink" Target="https://www.instagram.com/p/DV9eCsDjY3d/" TargetMode="External"/><Relationship Id="rId352" Type="http://schemas.openxmlformats.org/officeDocument/2006/relationships/hyperlink" Target="https://www.instagram.com/p/DcMgaKYiNe7/" TargetMode="External"/><Relationship Id="rId394" Type="http://schemas.openxmlformats.org/officeDocument/2006/relationships/hyperlink" Target="https://www.instagram.com/p/DX9eIJCFfk3/" TargetMode="External"/><Relationship Id="rId408" Type="http://schemas.openxmlformats.org/officeDocument/2006/relationships/hyperlink" Target="https://www.instagram.com/p/DW6eCaSCuw7/" TargetMode="External"/><Relationship Id="rId212" Type="http://schemas.openxmlformats.org/officeDocument/2006/relationships/hyperlink" Target="https://www.instagram.com/p/DTlmlg2DaIk/" TargetMode="External"/><Relationship Id="rId254" Type="http://schemas.openxmlformats.org/officeDocument/2006/relationships/hyperlink" Target="https://www.instagram.com/p/DbLZ7objjlt/" TargetMode="External"/><Relationship Id="rId49" Type="http://schemas.openxmlformats.org/officeDocument/2006/relationships/hyperlink" Target="https://www.instagram.com/p/DaOdw9jiTCP/" TargetMode="External"/><Relationship Id="rId114" Type="http://schemas.openxmlformats.org/officeDocument/2006/relationships/hyperlink" Target="https://www.instagram.com/p/Dd5v6dsjIfo/" TargetMode="External"/><Relationship Id="rId296" Type="http://schemas.openxmlformats.org/officeDocument/2006/relationships/hyperlink" Target="https://www.instagram.com/p/DXw27rhjhEU/" TargetMode="External"/><Relationship Id="rId461" Type="http://schemas.openxmlformats.org/officeDocument/2006/relationships/hyperlink" Target="https://www.instagram.com/p/DeFDaoARie0/" TargetMode="External"/><Relationship Id="rId517" Type="http://schemas.openxmlformats.org/officeDocument/2006/relationships/hyperlink" Target="https://www.instagram.com/p/DdCpvYfB29E/" TargetMode="External"/><Relationship Id="rId60" Type="http://schemas.openxmlformats.org/officeDocument/2006/relationships/hyperlink" Target="https://www.instagram.com/p/DZlGtsOlvjn/" TargetMode="External"/><Relationship Id="rId156" Type="http://schemas.openxmlformats.org/officeDocument/2006/relationships/hyperlink" Target="https://www.instagram.com/p/DZLaPTajwmz/" TargetMode="External"/><Relationship Id="rId198" Type="http://schemas.openxmlformats.org/officeDocument/2006/relationships/hyperlink" Target="https://www.instagram.com/p/DVHcy1YjQII/" TargetMode="External"/><Relationship Id="rId321" Type="http://schemas.openxmlformats.org/officeDocument/2006/relationships/hyperlink" Target="https://www.instagram.com/p/Deb-40-jfnu/" TargetMode="External"/><Relationship Id="rId363" Type="http://schemas.openxmlformats.org/officeDocument/2006/relationships/hyperlink" Target="https://www.instagram.com/p/Dafawm3Fqjy/" TargetMode="External"/><Relationship Id="rId419" Type="http://schemas.openxmlformats.org/officeDocument/2006/relationships/hyperlink" Target="https://www.instagram.com/p/DWPemtkEqIm9EGjLThT8qWN0qiNxZZRpwXXm7M0/" TargetMode="External"/><Relationship Id="rId223" Type="http://schemas.openxmlformats.org/officeDocument/2006/relationships/hyperlink" Target="https://www.instagram.com/p/DdY60KMiiDg/" TargetMode="External"/><Relationship Id="rId430" Type="http://schemas.openxmlformats.org/officeDocument/2006/relationships/hyperlink" Target="https://www.instagram.com/p/DeaA25XvI4Y/" TargetMode="External"/><Relationship Id="rId18" Type="http://schemas.openxmlformats.org/officeDocument/2006/relationships/hyperlink" Target="https://www.instagram.com/p/DdKR4VIjvRD/" TargetMode="External"/><Relationship Id="rId265" Type="http://schemas.openxmlformats.org/officeDocument/2006/relationships/hyperlink" Target="https://www.instagram.com/p/DaSwnhGFW-r/" TargetMode="External"/><Relationship Id="rId472" Type="http://schemas.openxmlformats.org/officeDocument/2006/relationships/hyperlink" Target="https://www.instagram.com/p/Dd7AqUnzjih/" TargetMode="External"/><Relationship Id="rId528" Type="http://schemas.openxmlformats.org/officeDocument/2006/relationships/hyperlink" Target="https://www.instagram.com/p/DcvuV1WxsDE/" TargetMode="External"/><Relationship Id="rId125" Type="http://schemas.openxmlformats.org/officeDocument/2006/relationships/hyperlink" Target="https://www.instagram.com/p/Dc4TV06DUOT/" TargetMode="External"/><Relationship Id="rId167" Type="http://schemas.openxmlformats.org/officeDocument/2006/relationships/hyperlink" Target="https://www.instagram.com/p/DYBWjJCDbKL/" TargetMode="External"/><Relationship Id="rId332" Type="http://schemas.openxmlformats.org/officeDocument/2006/relationships/hyperlink" Target="https://www.instagram.com/p/DdrDMCZlWFt/" TargetMode="External"/><Relationship Id="rId374" Type="http://schemas.openxmlformats.org/officeDocument/2006/relationships/hyperlink" Target="https://www.instagram.com/p/DZU9huHD42V/" TargetMode="External"/><Relationship Id="rId71" Type="http://schemas.openxmlformats.org/officeDocument/2006/relationships/hyperlink" Target="https://www.instagram.com/p/DYX6IQOqHTw/" TargetMode="External"/><Relationship Id="rId234" Type="http://schemas.openxmlformats.org/officeDocument/2006/relationships/hyperlink" Target="https://www.instagram.com/p/DclpMsPjuB4/" TargetMode="External"/><Relationship Id="rId2" Type="http://schemas.openxmlformats.org/officeDocument/2006/relationships/hyperlink" Target="https://www.instagram.com/p/DeSkHktqU6l/" TargetMode="External"/><Relationship Id="rId29" Type="http://schemas.openxmlformats.org/officeDocument/2006/relationships/hyperlink" Target="https://www.instagram.com/p/DcRnVvcxiws/" TargetMode="External"/><Relationship Id="rId276" Type="http://schemas.openxmlformats.org/officeDocument/2006/relationships/hyperlink" Target="https://www.instagram.com/p/DZVHrMyEk2u/" TargetMode="External"/><Relationship Id="rId441" Type="http://schemas.openxmlformats.org/officeDocument/2006/relationships/hyperlink" Target="https://www.instagram.com/p/DeR9RxoESx2/" TargetMode="External"/><Relationship Id="rId483" Type="http://schemas.openxmlformats.org/officeDocument/2006/relationships/hyperlink" Target="https://www.instagram.com/p/Ddt-noRuhxE/" TargetMode="External"/><Relationship Id="rId40" Type="http://schemas.openxmlformats.org/officeDocument/2006/relationships/hyperlink" Target="https://www.instagram.com/p/DbHNk3WKfKQ/" TargetMode="External"/><Relationship Id="rId136" Type="http://schemas.openxmlformats.org/officeDocument/2006/relationships/hyperlink" Target="https://www.instagram.com/p/Dbl55nID_ZM/" TargetMode="External"/><Relationship Id="rId178" Type="http://schemas.openxmlformats.org/officeDocument/2006/relationships/hyperlink" Target="https://www.instagram.com/p/DXAeNVaky3E/" TargetMode="External"/><Relationship Id="rId301" Type="http://schemas.openxmlformats.org/officeDocument/2006/relationships/hyperlink" Target="https://www.instagram.com/p/DXMz0kRj_Db/" TargetMode="External"/><Relationship Id="rId343" Type="http://schemas.openxmlformats.org/officeDocument/2006/relationships/hyperlink" Target="https://www.instagram.com/p/Dc_EMSKm3gm/" TargetMode="External"/><Relationship Id="rId82" Type="http://schemas.openxmlformats.org/officeDocument/2006/relationships/hyperlink" Target="https://www.instagram.com/p/DWziNXTqQW1/" TargetMode="External"/><Relationship Id="rId203" Type="http://schemas.openxmlformats.org/officeDocument/2006/relationships/hyperlink" Target="https://www.instagram.com/p/DUZGej3CHk8/" TargetMode="External"/><Relationship Id="rId385" Type="http://schemas.openxmlformats.org/officeDocument/2006/relationships/hyperlink" Target="https://www.instagram.com/p/DYkCldaHDtM/" TargetMode="External"/><Relationship Id="rId245" Type="http://schemas.openxmlformats.org/officeDocument/2006/relationships/hyperlink" Target="https://www.instagram.com/p/DbvnWhgDe_j/" TargetMode="External"/><Relationship Id="rId287" Type="http://schemas.openxmlformats.org/officeDocument/2006/relationships/hyperlink" Target="https://www.instagram.com/p/DYXRNh7gsM7/" TargetMode="External"/><Relationship Id="rId410" Type="http://schemas.openxmlformats.org/officeDocument/2006/relationships/hyperlink" Target="https://www.instagram.com/p/DW1UZeTE99V/" TargetMode="External"/><Relationship Id="rId452" Type="http://schemas.openxmlformats.org/officeDocument/2006/relationships/hyperlink" Target="https://www.instagram.com/p/DeMm9LoxQoU/" TargetMode="External"/><Relationship Id="rId494" Type="http://schemas.openxmlformats.org/officeDocument/2006/relationships/hyperlink" Target="https://www.instagram.com/p/DdhEOk8RBhu/" TargetMode="External"/><Relationship Id="rId508" Type="http://schemas.openxmlformats.org/officeDocument/2006/relationships/hyperlink" Target="https://www.instagram.com/p/DdRbf-9RxNz/" TargetMode="External"/><Relationship Id="rId105" Type="http://schemas.openxmlformats.org/officeDocument/2006/relationships/hyperlink" Target="https://www.instagram.com/p/DU_3XgUijgU/" TargetMode="External"/><Relationship Id="rId147" Type="http://schemas.openxmlformats.org/officeDocument/2006/relationships/hyperlink" Target="https://www.instagram.com/p/DaQ7refD1Gq/" TargetMode="External"/><Relationship Id="rId312" Type="http://schemas.openxmlformats.org/officeDocument/2006/relationships/hyperlink" Target="https://www.instagram.com/p/DWRsYWjDib4/" TargetMode="External"/><Relationship Id="rId354" Type="http://schemas.openxmlformats.org/officeDocument/2006/relationships/hyperlink" Target="https://www.instagram.com/p/Db5wTsyn-q1/" TargetMode="External"/><Relationship Id="rId51" Type="http://schemas.openxmlformats.org/officeDocument/2006/relationships/hyperlink" Target="https://www.instagram.com/p/DaJQvhoCceo/" TargetMode="External"/><Relationship Id="rId93" Type="http://schemas.openxmlformats.org/officeDocument/2006/relationships/hyperlink" Target="https://www.instagram.com/p/DVzZIxYiujh/" TargetMode="External"/><Relationship Id="rId189" Type="http://schemas.openxmlformats.org/officeDocument/2006/relationships/hyperlink" Target="https://www.instagram.com/p/DVuEufogZFh/" TargetMode="External"/><Relationship Id="rId396" Type="http://schemas.openxmlformats.org/officeDocument/2006/relationships/hyperlink" Target="https://www.instagram.com/p/DXzHcZRgH0y/" TargetMode="External"/><Relationship Id="rId214" Type="http://schemas.openxmlformats.org/officeDocument/2006/relationships/hyperlink" Target="https://www.instagram.com/p/DePQn4GEmdk/" TargetMode="External"/><Relationship Id="rId256" Type="http://schemas.openxmlformats.org/officeDocument/2006/relationships/hyperlink" Target="https://www.instagram.com/p/DbDvAkLETWc/" TargetMode="External"/><Relationship Id="rId298" Type="http://schemas.openxmlformats.org/officeDocument/2006/relationships/hyperlink" Target="https://www.instagram.com/p/DXZrx4zk8f4/" TargetMode="External"/><Relationship Id="rId421" Type="http://schemas.openxmlformats.org/officeDocument/2006/relationships/hyperlink" Target="https://www.instagram.com/p/DWEonmbDFY-/" TargetMode="External"/><Relationship Id="rId463" Type="http://schemas.openxmlformats.org/officeDocument/2006/relationships/hyperlink" Target="https://www.instagram.com/p/DeAHKhgxGr4/" TargetMode="External"/><Relationship Id="rId519" Type="http://schemas.openxmlformats.org/officeDocument/2006/relationships/hyperlink" Target="https://www.instagram.com/p/DdBqX3oRzmK/" TargetMode="External"/><Relationship Id="rId116" Type="http://schemas.openxmlformats.org/officeDocument/2006/relationships/hyperlink" Target="https://www.instagram.com/p/DdrzUImDB9O/" TargetMode="External"/><Relationship Id="rId158" Type="http://schemas.openxmlformats.org/officeDocument/2006/relationships/hyperlink" Target="https://www.instagram.com/p/DY1o501AOup/" TargetMode="External"/><Relationship Id="rId323" Type="http://schemas.openxmlformats.org/officeDocument/2006/relationships/hyperlink" Target="https://www.instagram.com/p/DePG_pLjJ5I/" TargetMode="External"/><Relationship Id="rId530" Type="http://schemas.openxmlformats.org/officeDocument/2006/relationships/hyperlink" Target="https://www.instagram.com/p/DcojKaQhN4P/" TargetMode="External"/><Relationship Id="rId20" Type="http://schemas.openxmlformats.org/officeDocument/2006/relationships/hyperlink" Target="https://www.instagram.com/p/DdCkKBSRbVK/" TargetMode="External"/><Relationship Id="rId62" Type="http://schemas.openxmlformats.org/officeDocument/2006/relationships/hyperlink" Target="https://www.instagram.com/p/DZgHdwTFulq/" TargetMode="External"/><Relationship Id="rId365" Type="http://schemas.openxmlformats.org/officeDocument/2006/relationships/hyperlink" Target="https://www.instagram.com/p/DaOUHn8D0ik/" TargetMode="External"/><Relationship Id="rId225" Type="http://schemas.openxmlformats.org/officeDocument/2006/relationships/hyperlink" Target="https://www.instagram.com/p/DdJk4lWD7JQ/" TargetMode="External"/><Relationship Id="rId267" Type="http://schemas.openxmlformats.org/officeDocument/2006/relationships/hyperlink" Target="https://www.instagram.com/p/DaAyUuClN8S/" TargetMode="External"/><Relationship Id="rId432" Type="http://schemas.openxmlformats.org/officeDocument/2006/relationships/hyperlink" Target="https://www.instagram.com/p/DeZuudWRd22/" TargetMode="External"/><Relationship Id="rId474" Type="http://schemas.openxmlformats.org/officeDocument/2006/relationships/hyperlink" Target="https://www.instagram.com/p/Dd6MUgJRTdD/" TargetMode="External"/><Relationship Id="rId127" Type="http://schemas.openxmlformats.org/officeDocument/2006/relationships/hyperlink" Target="https://www.instagram.com/p/Dcjs-q9FB4s/" TargetMode="External"/><Relationship Id="rId31" Type="http://schemas.openxmlformats.org/officeDocument/2006/relationships/hyperlink" Target="https://www.instagram.com/p/DcMfcP9RnoP/" TargetMode="External"/><Relationship Id="rId73" Type="http://schemas.openxmlformats.org/officeDocument/2006/relationships/hyperlink" Target="https://www.instagram.com/p/DYQR8UFK5Nz/" TargetMode="External"/><Relationship Id="rId169" Type="http://schemas.openxmlformats.org/officeDocument/2006/relationships/hyperlink" Target="https://www.instagram.com/p/DXxQyV_jVTP/" TargetMode="External"/><Relationship Id="rId334" Type="http://schemas.openxmlformats.org/officeDocument/2006/relationships/hyperlink" Target="https://www.instagram.com/p/DdjVTmlDPZd/" TargetMode="External"/><Relationship Id="rId376" Type="http://schemas.openxmlformats.org/officeDocument/2006/relationships/hyperlink" Target="https://www.instagram.com/p/DZK2N8RBLhx/" TargetMode="External"/><Relationship Id="rId4" Type="http://schemas.openxmlformats.org/officeDocument/2006/relationships/hyperlink" Target="https://www.instagram.com/p/DeIafcQKLs8/" TargetMode="External"/><Relationship Id="rId180" Type="http://schemas.openxmlformats.org/officeDocument/2006/relationships/hyperlink" Target="https://www.instagram.com/p/DWhkr-jkcWo/" TargetMode="External"/><Relationship Id="rId236" Type="http://schemas.openxmlformats.org/officeDocument/2006/relationships/hyperlink" Target="https://www.instagram.com/p/Dcd6PFXgsp_/" TargetMode="External"/><Relationship Id="rId278" Type="http://schemas.openxmlformats.org/officeDocument/2006/relationships/hyperlink" Target="https://www.instagram.com/p/DZK0hU4j_T9/" TargetMode="External"/><Relationship Id="rId401" Type="http://schemas.openxmlformats.org/officeDocument/2006/relationships/hyperlink" Target="https://www.instagram.com/p/DXehOi5gne2/" TargetMode="External"/><Relationship Id="rId443" Type="http://schemas.openxmlformats.org/officeDocument/2006/relationships/hyperlink" Target="https://www.instagram.com/p/DeRuqdvxbyL/" TargetMode="External"/><Relationship Id="rId303" Type="http://schemas.openxmlformats.org/officeDocument/2006/relationships/hyperlink" Target="https://www.instagram.com/p/DXE-rWwkcxz/" TargetMode="External"/><Relationship Id="rId485" Type="http://schemas.openxmlformats.org/officeDocument/2006/relationships/hyperlink" Target="https://www.instagram.com/p/DdrXW0gR3NB/" TargetMode="External"/><Relationship Id="rId42" Type="http://schemas.openxmlformats.org/officeDocument/2006/relationships/hyperlink" Target="https://www.instagram.com/p/Da6HFk4DPmF/" TargetMode="External"/><Relationship Id="rId84" Type="http://schemas.openxmlformats.org/officeDocument/2006/relationships/hyperlink" Target="https://www.instagram.com/p/DWmqsMsAdVk/" TargetMode="External"/><Relationship Id="rId138" Type="http://schemas.openxmlformats.org/officeDocument/2006/relationships/hyperlink" Target="https://www.instagram.com/p/DbMJ-uLiCp_/" TargetMode="External"/><Relationship Id="rId345" Type="http://schemas.openxmlformats.org/officeDocument/2006/relationships/hyperlink" Target="https://www.instagram.com/p/Dcv1bMjka56/" TargetMode="External"/><Relationship Id="rId387" Type="http://schemas.openxmlformats.org/officeDocument/2006/relationships/hyperlink" Target="https://www.instagram.com/p/DYe4_r7E_KP/" TargetMode="External"/><Relationship Id="rId510" Type="http://schemas.openxmlformats.org/officeDocument/2006/relationships/hyperlink" Target="https://www.instagram.com/p/DdPR5kCzdLo/" TargetMode="External"/><Relationship Id="rId191" Type="http://schemas.openxmlformats.org/officeDocument/2006/relationships/hyperlink" Target="https://www.instagram.com/p/DVrZJKdDzfS/" TargetMode="External"/><Relationship Id="rId205" Type="http://schemas.openxmlformats.org/officeDocument/2006/relationships/hyperlink" Target="https://www.instagram.com/p/DUOzSDEDMQN/" TargetMode="External"/><Relationship Id="rId247" Type="http://schemas.openxmlformats.org/officeDocument/2006/relationships/hyperlink" Target="https://www.instagram.com/p/DbqbY_4DHQ5/" TargetMode="External"/><Relationship Id="rId412" Type="http://schemas.openxmlformats.org/officeDocument/2006/relationships/hyperlink" Target="https://www.instagram.com/p/DWrBXFACiaK/" TargetMode="External"/><Relationship Id="rId107" Type="http://schemas.openxmlformats.org/officeDocument/2006/relationships/hyperlink" Target="https://www.instagram.com/p/DU6zxxDCmMu/" TargetMode="External"/><Relationship Id="rId289" Type="http://schemas.openxmlformats.org/officeDocument/2006/relationships/hyperlink" Target="https://www.instagram.com/p/DYPfSG5EtlC/" TargetMode="External"/><Relationship Id="rId454" Type="http://schemas.openxmlformats.org/officeDocument/2006/relationships/hyperlink" Target="https://www.instagram.com/p/DeMY0mPx_a4/" TargetMode="External"/><Relationship Id="rId496" Type="http://schemas.openxmlformats.org/officeDocument/2006/relationships/hyperlink" Target="https://www.instagram.com/p/DdbwiTBx2_y/" TargetMode="External"/><Relationship Id="rId11" Type="http://schemas.openxmlformats.org/officeDocument/2006/relationships/hyperlink" Target="https://www.instagram.com/p/Ddj8E6dR8TI/" TargetMode="External"/><Relationship Id="rId53" Type="http://schemas.openxmlformats.org/officeDocument/2006/relationships/hyperlink" Target="https://www.instagram.com/p/DaEKkUWCad1/" TargetMode="External"/><Relationship Id="rId149" Type="http://schemas.openxmlformats.org/officeDocument/2006/relationships/hyperlink" Target="https://www.instagram.com/p/DZ3Lt2NgAK-/" TargetMode="External"/><Relationship Id="rId314" Type="http://schemas.openxmlformats.org/officeDocument/2006/relationships/hyperlink" Target="https://www.instagram.com/p/DWHSbY0gPkZ/" TargetMode="External"/><Relationship Id="rId356" Type="http://schemas.openxmlformats.org/officeDocument/2006/relationships/hyperlink" Target="https://www.instagram.com/p/Dbs4aVYm3p3/" TargetMode="External"/><Relationship Id="rId398" Type="http://schemas.openxmlformats.org/officeDocument/2006/relationships/hyperlink" Target="https://www.instagram.com/p/DXt9tlACQRU/" TargetMode="External"/><Relationship Id="rId521" Type="http://schemas.openxmlformats.org/officeDocument/2006/relationships/hyperlink" Target="https://www.instagram.com/p/Dc37r4ixGW6/" TargetMode="External"/><Relationship Id="rId95" Type="http://schemas.openxmlformats.org/officeDocument/2006/relationships/hyperlink" Target="https://www.instagram.com/p/DVemghdCQe-/" TargetMode="External"/><Relationship Id="rId160" Type="http://schemas.openxmlformats.org/officeDocument/2006/relationships/hyperlink" Target="https://www.instagram.com/p/DYnXI6pDVGX/" TargetMode="External"/><Relationship Id="rId216" Type="http://schemas.openxmlformats.org/officeDocument/2006/relationships/hyperlink" Target="https://www.instagram.com/p/DeAs4BdjLIX/" TargetMode="External"/><Relationship Id="rId423" Type="http://schemas.openxmlformats.org/officeDocument/2006/relationships/hyperlink" Target="https://www.instagram.com/p/DV8qzI-Fjug/" TargetMode="External"/><Relationship Id="rId258" Type="http://schemas.openxmlformats.org/officeDocument/2006/relationships/hyperlink" Target="https://www.instagram.com/p/Dax0SLlj1QW/" TargetMode="External"/><Relationship Id="rId465" Type="http://schemas.openxmlformats.org/officeDocument/2006/relationships/hyperlink" Target="https://www.instagram.com/p/Dd_jJJNxCow/" TargetMode="External"/><Relationship Id="rId22" Type="http://schemas.openxmlformats.org/officeDocument/2006/relationships/hyperlink" Target="https://www.instagram.com/p/Dc_aVWbqh9q/" TargetMode="External"/><Relationship Id="rId64" Type="http://schemas.openxmlformats.org/officeDocument/2006/relationships/hyperlink" Target="https://www.instagram.com/p/DZa92hCFsAJ/" TargetMode="External"/><Relationship Id="rId118" Type="http://schemas.openxmlformats.org/officeDocument/2006/relationships/hyperlink" Target="https://www.instagram.com/p/DdhgMSVjwMj/" TargetMode="External"/><Relationship Id="rId325" Type="http://schemas.openxmlformats.org/officeDocument/2006/relationships/hyperlink" Target="https://www.instagram.com/p/DeMh_zIDIDA/" TargetMode="External"/><Relationship Id="rId367" Type="http://schemas.openxmlformats.org/officeDocument/2006/relationships/hyperlink" Target="https://www.instagram.com/p/DZvPmsdFSU1/" TargetMode="External"/><Relationship Id="rId532" Type="http://schemas.openxmlformats.org/officeDocument/2006/relationships/hyperlink" Target="https://www.instagram.com/p/DciuDOWxjHK/" TargetMode="External"/><Relationship Id="rId171" Type="http://schemas.openxmlformats.org/officeDocument/2006/relationships/hyperlink" Target="https://www.instagram.com/p/DXhh0hWjYR8/" TargetMode="External"/><Relationship Id="rId227" Type="http://schemas.openxmlformats.org/officeDocument/2006/relationships/hyperlink" Target="https://www.instagram.com/p/DdB9bmdkjLV/" TargetMode="External"/><Relationship Id="rId269" Type="http://schemas.openxmlformats.org/officeDocument/2006/relationships/hyperlink" Target="https://www.instagram.com/p/DZxVm1gAm7E/" TargetMode="External"/><Relationship Id="rId434" Type="http://schemas.openxmlformats.org/officeDocument/2006/relationships/hyperlink" Target="https://www.instagram.com/p/DeZUAd3xixv/" TargetMode="External"/><Relationship Id="rId476" Type="http://schemas.openxmlformats.org/officeDocument/2006/relationships/hyperlink" Target="https://www.instagram.com/p/Dd30O-JxMd4/" TargetMode="External"/><Relationship Id="rId33" Type="http://schemas.openxmlformats.org/officeDocument/2006/relationships/hyperlink" Target="https://www.instagram.com/p/DcG0K3dKdIJ/" TargetMode="External"/><Relationship Id="rId129" Type="http://schemas.openxmlformats.org/officeDocument/2006/relationships/hyperlink" Target="https://www.instagram.com/p/DcW1BhCAVeZ/" TargetMode="External"/><Relationship Id="rId280" Type="http://schemas.openxmlformats.org/officeDocument/2006/relationships/hyperlink" Target="https://www.instagram.com/p/DY7U_OfEarL/" TargetMode="External"/><Relationship Id="rId336" Type="http://schemas.openxmlformats.org/officeDocument/2006/relationships/hyperlink" Target="https://www.instagram.com/p/DdYz9jTjdAB/" TargetMode="External"/><Relationship Id="rId501" Type="http://schemas.openxmlformats.org/officeDocument/2006/relationships/hyperlink" Target="https://www.instagram.com/p/DdW52-TRtWE/" TargetMode="External"/><Relationship Id="rId75" Type="http://schemas.openxmlformats.org/officeDocument/2006/relationships/hyperlink" Target="https://www.instagram.com/p/DXcujVQKVA1/" TargetMode="External"/><Relationship Id="rId140" Type="http://schemas.openxmlformats.org/officeDocument/2006/relationships/hyperlink" Target="https://www.instagram.com/p/DbB2xx9jR7r/" TargetMode="External"/><Relationship Id="rId182" Type="http://schemas.openxmlformats.org/officeDocument/2006/relationships/hyperlink" Target="https://www.instagram.com/p/DWXRdhSDegi/" TargetMode="External"/><Relationship Id="rId378" Type="http://schemas.openxmlformats.org/officeDocument/2006/relationships/hyperlink" Target="https://www.instagram.com/p/DZFhD8iFRNB/" TargetMode="External"/><Relationship Id="rId403" Type="http://schemas.openxmlformats.org/officeDocument/2006/relationships/hyperlink" Target="https://www.instagram.com/p/DXZXjFvAchF/" TargetMode="External"/><Relationship Id="rId6" Type="http://schemas.openxmlformats.org/officeDocument/2006/relationships/hyperlink" Target="https://www.instagram.com/p/Dd4vFInxgnz/" TargetMode="External"/><Relationship Id="rId238" Type="http://schemas.openxmlformats.org/officeDocument/2006/relationships/hyperlink" Target="https://www.instagram.com/p/DcTnOsyE8vz/" TargetMode="External"/><Relationship Id="rId445" Type="http://schemas.openxmlformats.org/officeDocument/2006/relationships/hyperlink" Target="https://www.instagram.com/p/DePmSyZp8AG/" TargetMode="External"/><Relationship Id="rId487" Type="http://schemas.openxmlformats.org/officeDocument/2006/relationships/hyperlink" Target="https://www.instagram.com/p/Ddo_-eUT3jY/" TargetMode="External"/><Relationship Id="rId291" Type="http://schemas.openxmlformats.org/officeDocument/2006/relationships/hyperlink" Target="https://www.instagram.com/p/DYFFRIujmXl/" TargetMode="External"/><Relationship Id="rId305" Type="http://schemas.openxmlformats.org/officeDocument/2006/relationships/hyperlink" Target="https://www.instagram.com/p/DW7ACtCxsNQ/" TargetMode="External"/><Relationship Id="rId347" Type="http://schemas.openxmlformats.org/officeDocument/2006/relationships/hyperlink" Target="https://www.instagram.com/p/DchVBgQBPYm/" TargetMode="External"/><Relationship Id="rId512" Type="http://schemas.openxmlformats.org/officeDocument/2006/relationships/hyperlink" Target="https://www.instagram.com/p/DdJSvHBxZ8k/" TargetMode="External"/><Relationship Id="rId44" Type="http://schemas.openxmlformats.org/officeDocument/2006/relationships/hyperlink" Target="https://www.instagram.com/p/Davz0-Wx_2U/" TargetMode="External"/><Relationship Id="rId86" Type="http://schemas.openxmlformats.org/officeDocument/2006/relationships/hyperlink" Target="https://www.instagram.com/p/DWhgJYdK88K/" TargetMode="External"/><Relationship Id="rId151" Type="http://schemas.openxmlformats.org/officeDocument/2006/relationships/hyperlink" Target="https://www.instagram.com/p/DZnu_uiATBS/" TargetMode="External"/><Relationship Id="rId389" Type="http://schemas.openxmlformats.org/officeDocument/2006/relationships/hyperlink" Target="https://www.instagram.com/p/DYUl4IImu0w/" TargetMode="External"/><Relationship Id="rId193" Type="http://schemas.openxmlformats.org/officeDocument/2006/relationships/hyperlink" Target="https://www.instagram.com/p/DVblGsRDZ3e/" TargetMode="External"/><Relationship Id="rId207" Type="http://schemas.openxmlformats.org/officeDocument/2006/relationships/hyperlink" Target="https://www.instagram.com/p/DUBit4IDZgr/" TargetMode="External"/><Relationship Id="rId249" Type="http://schemas.openxmlformats.org/officeDocument/2006/relationships/hyperlink" Target="https://www.instagram.com/p/DblRgU7DKoR/" TargetMode="External"/><Relationship Id="rId414" Type="http://schemas.openxmlformats.org/officeDocument/2006/relationships/hyperlink" Target="https://www.instagram.com/p/DWjSnP3lnRm/" TargetMode="External"/><Relationship Id="rId456" Type="http://schemas.openxmlformats.org/officeDocument/2006/relationships/hyperlink" Target="https://www.instagram.com/p/DeJ4wQ-xaOY/" TargetMode="External"/><Relationship Id="rId498" Type="http://schemas.openxmlformats.org/officeDocument/2006/relationships/hyperlink" Target="https://www.instagram.com/p/DdZjuo4Mysn/" TargetMode="External"/><Relationship Id="rId13" Type="http://schemas.openxmlformats.org/officeDocument/2006/relationships/hyperlink" Target="https://www.instagram.com/p/DdcTKWHxW2N/" TargetMode="External"/><Relationship Id="rId109" Type="http://schemas.openxmlformats.org/officeDocument/2006/relationships/hyperlink" Target="https://www.instagram.com/p/DeaJjCxiAmd/" TargetMode="External"/><Relationship Id="rId260" Type="http://schemas.openxmlformats.org/officeDocument/2006/relationships/hyperlink" Target="https://www.instagram.com/p/Dak8S0ElzTD/" TargetMode="External"/><Relationship Id="rId316" Type="http://schemas.openxmlformats.org/officeDocument/2006/relationships/hyperlink" Target="https://www.instagram.com/p/DV_v43Vj9I8/" TargetMode="External"/><Relationship Id="rId523" Type="http://schemas.openxmlformats.org/officeDocument/2006/relationships/hyperlink" Target="https://www.instagram.com/p/Dc05oZcRUGB/" TargetMode="External"/><Relationship Id="rId55" Type="http://schemas.openxmlformats.org/officeDocument/2006/relationships/hyperlink" Target="https://www.instagram.com/p/DZ_A9FXCdNn/" TargetMode="External"/><Relationship Id="rId97" Type="http://schemas.openxmlformats.org/officeDocument/2006/relationships/hyperlink" Target="https://www.instagram.com/p/DVR3IZrClKQ/" TargetMode="External"/><Relationship Id="rId120" Type="http://schemas.openxmlformats.org/officeDocument/2006/relationships/hyperlink" Target="https://www.instagram.com/p/DdSDS7AgKK0/" TargetMode="External"/><Relationship Id="rId358" Type="http://schemas.openxmlformats.org/officeDocument/2006/relationships/hyperlink" Target="https://www.instagram.com/p/DbnxmfWjMt3/" TargetMode="External"/><Relationship Id="rId162" Type="http://schemas.openxmlformats.org/officeDocument/2006/relationships/hyperlink" Target="https://www.instagram.com/p/DYafHDDDQcf/" TargetMode="External"/><Relationship Id="rId218" Type="http://schemas.openxmlformats.org/officeDocument/2006/relationships/hyperlink" Target="https://www.instagram.com/p/Dd4CTrOgW12/" TargetMode="External"/><Relationship Id="rId425" Type="http://schemas.openxmlformats.org/officeDocument/2006/relationships/hyperlink" Target="https://www.instagram.com/p/DVvzBD1k-tM/" TargetMode="External"/><Relationship Id="rId467" Type="http://schemas.openxmlformats.org/officeDocument/2006/relationships/hyperlink" Target="https://www.instagram.com/p/Dd9Snh7xSjX/" TargetMode="External"/><Relationship Id="rId271" Type="http://schemas.openxmlformats.org/officeDocument/2006/relationships/hyperlink" Target="https://www.instagram.com/p/DZpjsvWCGM3/" TargetMode="External"/><Relationship Id="rId24" Type="http://schemas.openxmlformats.org/officeDocument/2006/relationships/hyperlink" Target="https://www.instagram.com/p/Dc1yHNGRM25/" TargetMode="External"/><Relationship Id="rId66" Type="http://schemas.openxmlformats.org/officeDocument/2006/relationships/hyperlink" Target="https://www.instagram.com/p/DZDoZQBFO-W/" TargetMode="External"/><Relationship Id="rId131" Type="http://schemas.openxmlformats.org/officeDocument/2006/relationships/hyperlink" Target="https://www.instagram.com/p/DcJ9BfPHd7p/" TargetMode="External"/><Relationship Id="rId327" Type="http://schemas.openxmlformats.org/officeDocument/2006/relationships/hyperlink" Target="https://www.instagram.com/p/Dd9FaeYF6P7/" TargetMode="External"/><Relationship Id="rId369" Type="http://schemas.openxmlformats.org/officeDocument/2006/relationships/hyperlink" Target="https://www.instagram.com/p/DZsPglMEz7Y/" TargetMode="External"/><Relationship Id="rId534" Type="http://schemas.openxmlformats.org/officeDocument/2006/relationships/hyperlink" Target="https://www.instagram.com/p/DcgNRVoxup1/" TargetMode="External"/><Relationship Id="rId173" Type="http://schemas.openxmlformats.org/officeDocument/2006/relationships/hyperlink" Target="https://www.instagram.com/p/DXaOI3njX0D/" TargetMode="External"/><Relationship Id="rId229" Type="http://schemas.openxmlformats.org/officeDocument/2006/relationships/hyperlink" Target="https://www.instagram.com/p/Dc3qJRUCZMO/" TargetMode="External"/><Relationship Id="rId380" Type="http://schemas.openxmlformats.org/officeDocument/2006/relationships/hyperlink" Target="https://www.instagram.com/p/DZDLNudpf2B/" TargetMode="External"/><Relationship Id="rId436" Type="http://schemas.openxmlformats.org/officeDocument/2006/relationships/hyperlink" Target="https://www.instagram.com/p/DeUvDlqxBBC/" TargetMode="External"/><Relationship Id="rId240" Type="http://schemas.openxmlformats.org/officeDocument/2006/relationships/hyperlink" Target="https://www.instagram.com/p/DcL5VM7DUhi/" TargetMode="External"/><Relationship Id="rId478" Type="http://schemas.openxmlformats.org/officeDocument/2006/relationships/hyperlink" Target="https://www.instagram.com/p/Dd1MMShRGqH/" TargetMode="External"/><Relationship Id="rId35" Type="http://schemas.openxmlformats.org/officeDocument/2006/relationships/hyperlink" Target="https://www.instagram.com/p/Db34m0zRF6y/" TargetMode="External"/><Relationship Id="rId77" Type="http://schemas.openxmlformats.org/officeDocument/2006/relationships/hyperlink" Target="https://www.instagram.com/p/DXP3g1akTDr/" TargetMode="External"/><Relationship Id="rId100" Type="http://schemas.openxmlformats.org/officeDocument/2006/relationships/hyperlink" Target="https://www.instagram.com/p/DVKKrKIDBgW/" TargetMode="External"/><Relationship Id="rId282" Type="http://schemas.openxmlformats.org/officeDocument/2006/relationships/hyperlink" Target="https://www.instagram.com/p/DYzag4hCfLd/" TargetMode="External"/><Relationship Id="rId338" Type="http://schemas.openxmlformats.org/officeDocument/2006/relationships/hyperlink" Target="https://www.instagram.com/p/DdRf-6QFV0I/" TargetMode="External"/><Relationship Id="rId503" Type="http://schemas.openxmlformats.org/officeDocument/2006/relationships/hyperlink" Target="https://www.instagram.com/p/DdWeejIRjB_/" TargetMode="External"/><Relationship Id="rId8" Type="http://schemas.openxmlformats.org/officeDocument/2006/relationships/hyperlink" Target="https://www.instagram.com/p/Dd16SwMRO3y/" TargetMode="External"/><Relationship Id="rId142" Type="http://schemas.openxmlformats.org/officeDocument/2006/relationships/hyperlink" Target="https://www.instagram.com/p/Da8tLRFjBJX/" TargetMode="External"/><Relationship Id="rId184" Type="http://schemas.openxmlformats.org/officeDocument/2006/relationships/hyperlink" Target="https://www.instagram.com/p/DWM-XMWAdFt/" TargetMode="External"/><Relationship Id="rId391" Type="http://schemas.openxmlformats.org/officeDocument/2006/relationships/hyperlink" Target="https://www.instagram.com/p/DYPcNcDAWkt/" TargetMode="External"/><Relationship Id="rId405" Type="http://schemas.openxmlformats.org/officeDocument/2006/relationships/hyperlink" Target="https://www.instagram.com/p/DXJ96s7Exbj/" TargetMode="External"/><Relationship Id="rId447" Type="http://schemas.openxmlformats.org/officeDocument/2006/relationships/hyperlink" Target="https://www.instagram.com/p/DePWsNmxbiG/" TargetMode="External"/><Relationship Id="rId251" Type="http://schemas.openxmlformats.org/officeDocument/2006/relationships/hyperlink" Target="https://www.instagram.com/p/Dba2qCLiJcf/" TargetMode="External"/><Relationship Id="rId489" Type="http://schemas.openxmlformats.org/officeDocument/2006/relationships/hyperlink" Target="https://www.instagram.com/p/Ddmnxd0kagQ/" TargetMode="External"/><Relationship Id="rId46" Type="http://schemas.openxmlformats.org/officeDocument/2006/relationships/hyperlink" Target="https://www.instagram.com/p/Dak_02tqVKa/" TargetMode="External"/><Relationship Id="rId293" Type="http://schemas.openxmlformats.org/officeDocument/2006/relationships/hyperlink" Target="https://www.instagram.com/p/DYATr6zAaEL/" TargetMode="External"/><Relationship Id="rId307" Type="http://schemas.openxmlformats.org/officeDocument/2006/relationships/hyperlink" Target="https://www.instagram.com/p/DW1wq_-lTJ6/" TargetMode="External"/><Relationship Id="rId349" Type="http://schemas.openxmlformats.org/officeDocument/2006/relationships/hyperlink" Target="https://www.instagram.com/p/DcbO3xkHGPQ/" TargetMode="External"/><Relationship Id="rId514" Type="http://schemas.openxmlformats.org/officeDocument/2006/relationships/hyperlink" Target="https://www.instagram.com/p/DdFAmyHpX-l/" TargetMode="External"/><Relationship Id="rId88" Type="http://schemas.openxmlformats.org/officeDocument/2006/relationships/hyperlink" Target="https://www.instagram.com/p/DWUwEA1FP2q/" TargetMode="External"/><Relationship Id="rId111" Type="http://schemas.openxmlformats.org/officeDocument/2006/relationships/hyperlink" Target="https://www.instagram.com/p/DeNRm0HjfVE/" TargetMode="External"/><Relationship Id="rId153" Type="http://schemas.openxmlformats.org/officeDocument/2006/relationships/hyperlink" Target="https://www.instagram.com/p/DZgAlawDFpq/" TargetMode="External"/><Relationship Id="rId195" Type="http://schemas.openxmlformats.org/officeDocument/2006/relationships/hyperlink" Target="https://www.instagram.com/p/DVSSVsgj5Qv/" TargetMode="External"/><Relationship Id="rId209" Type="http://schemas.openxmlformats.org/officeDocument/2006/relationships/hyperlink" Target="https://www.instagram.com/p/DT6M8oID9rh/" TargetMode="External"/><Relationship Id="rId360" Type="http://schemas.openxmlformats.org/officeDocument/2006/relationships/hyperlink" Target="https://www.instagram.com/p/DbVtNTIli1X/" TargetMode="External"/><Relationship Id="rId416" Type="http://schemas.openxmlformats.org/officeDocument/2006/relationships/hyperlink" Target="https://www.instagram.com/p/DWeL6dejhT3/" TargetMode="External"/><Relationship Id="rId220" Type="http://schemas.openxmlformats.org/officeDocument/2006/relationships/hyperlink" Target="https://www.instagram.com/p/DdrA3VYjP-x/" TargetMode="External"/><Relationship Id="rId458" Type="http://schemas.openxmlformats.org/officeDocument/2006/relationships/hyperlink" Target="https://www.instagram.com/p/DeHWzR-keiq/" TargetMode="External"/><Relationship Id="rId15" Type="http://schemas.openxmlformats.org/officeDocument/2006/relationships/hyperlink" Target="https://www.instagram.com/p/DdXIXB0R3l0/" TargetMode="External"/><Relationship Id="rId57" Type="http://schemas.openxmlformats.org/officeDocument/2006/relationships/hyperlink" Target="https://www.instagram.com/p/DZ0m6tMiQSl/" TargetMode="External"/><Relationship Id="rId262" Type="http://schemas.openxmlformats.org/officeDocument/2006/relationships/hyperlink" Target="https://www.instagram.com/p/DafyszsDQoU/" TargetMode="External"/><Relationship Id="rId318" Type="http://schemas.openxmlformats.org/officeDocument/2006/relationships/hyperlink" Target="https://www.instagram.com/p/DVtb4hRDmK2/" TargetMode="External"/><Relationship Id="rId525" Type="http://schemas.openxmlformats.org/officeDocument/2006/relationships/hyperlink" Target="https://www.instagram.com/p/DcyurKmkbP8/" TargetMode="External"/><Relationship Id="rId99" Type="http://schemas.openxmlformats.org/officeDocument/2006/relationships/hyperlink" Target="https://www.instagram.com/p/DVMuvjICvHg/" TargetMode="External"/><Relationship Id="rId122" Type="http://schemas.openxmlformats.org/officeDocument/2006/relationships/hyperlink" Target="https://www.instagram.com/p/DdFLWsTDRiG/" TargetMode="External"/><Relationship Id="rId164" Type="http://schemas.openxmlformats.org/officeDocument/2006/relationships/hyperlink" Target="https://www.instagram.com/p/DYQL7YQifui/" TargetMode="External"/><Relationship Id="rId371" Type="http://schemas.openxmlformats.org/officeDocument/2006/relationships/hyperlink" Target="https://www.instagram.com/p/DZdZEwkAWe2/" TargetMode="External"/><Relationship Id="rId427" Type="http://schemas.openxmlformats.org/officeDocument/2006/relationships/hyperlink" Target="https://www.instagram.com/p/DVrYt4eE9ig/" TargetMode="External"/><Relationship Id="rId469" Type="http://schemas.openxmlformats.org/officeDocument/2006/relationships/hyperlink" Target="https://www.instagram.com/p/Dd8-oQPRej_/" TargetMode="External"/><Relationship Id="rId26" Type="http://schemas.openxmlformats.org/officeDocument/2006/relationships/hyperlink" Target="https://www.instagram.com/p/DclMTULqSc3/" TargetMode="External"/><Relationship Id="rId231" Type="http://schemas.openxmlformats.org/officeDocument/2006/relationships/hyperlink" Target="https://www.instagram.com/p/Dcv8V9EIApl/" TargetMode="External"/><Relationship Id="rId273" Type="http://schemas.openxmlformats.org/officeDocument/2006/relationships/hyperlink" Target="https://www.instagram.com/p/DZcvKSdiL_X/" TargetMode="External"/><Relationship Id="rId329" Type="http://schemas.openxmlformats.org/officeDocument/2006/relationships/hyperlink" Target="https://www.instagram.com/p/Dd37k9ljKlF/" TargetMode="External"/><Relationship Id="rId480" Type="http://schemas.openxmlformats.org/officeDocument/2006/relationships/hyperlink" Target="https://www.instagram.com/p/DdxH0GfORbY/" TargetMode="External"/><Relationship Id="rId536" Type="http://schemas.openxmlformats.org/officeDocument/2006/relationships/hyperlink" Target="https://www.instagram.com/p/DcdyI6jxWPi/" TargetMode="External"/><Relationship Id="rId68" Type="http://schemas.openxmlformats.org/officeDocument/2006/relationships/hyperlink" Target="https://www.instagram.com/p/DYp73jSRoYz/" TargetMode="External"/><Relationship Id="rId133" Type="http://schemas.openxmlformats.org/officeDocument/2006/relationships/hyperlink" Target="https://www.instagram.com/p/Db6gSFUjy0Y/" TargetMode="External"/><Relationship Id="rId175" Type="http://schemas.openxmlformats.org/officeDocument/2006/relationships/hyperlink" Target="https://www.instagram.com/p/DXP6-qKjOqq/" TargetMode="External"/><Relationship Id="rId340" Type="http://schemas.openxmlformats.org/officeDocument/2006/relationships/hyperlink" Target="https://www.instagram.com/p/DdFkb2MxhNl/" TargetMode="External"/><Relationship Id="rId200" Type="http://schemas.openxmlformats.org/officeDocument/2006/relationships/hyperlink" Target="https://www.instagram.com/p/DU6kz7zE8W7/" TargetMode="External"/><Relationship Id="rId382" Type="http://schemas.openxmlformats.org/officeDocument/2006/relationships/hyperlink" Target="https://www.instagram.com/p/DY2EIo0ERT-/" TargetMode="External"/><Relationship Id="rId438" Type="http://schemas.openxmlformats.org/officeDocument/2006/relationships/hyperlink" Target="https://www.instagram.com/p/DeSMEKWTpEc/" TargetMode="External"/><Relationship Id="rId242" Type="http://schemas.openxmlformats.org/officeDocument/2006/relationships/hyperlink" Target="https://www.instagram.com/p/DcBekVDgFla/" TargetMode="External"/><Relationship Id="rId284" Type="http://schemas.openxmlformats.org/officeDocument/2006/relationships/hyperlink" Target="https://www.instagram.com/p/DYm7o7hDsl0/" TargetMode="External"/><Relationship Id="rId491" Type="http://schemas.openxmlformats.org/officeDocument/2006/relationships/hyperlink" Target="https://www.instagram.com/p/DdmcLbSplHx/" TargetMode="External"/><Relationship Id="rId505" Type="http://schemas.openxmlformats.org/officeDocument/2006/relationships/hyperlink" Target="https://www.instagram.com/p/DdUW8hQRSnN/" TargetMode="External"/><Relationship Id="rId37" Type="http://schemas.openxmlformats.org/officeDocument/2006/relationships/hyperlink" Target="https://www.instagram.com/p/DboZJF5Rqwr/" TargetMode="External"/><Relationship Id="rId79" Type="http://schemas.openxmlformats.org/officeDocument/2006/relationships/hyperlink" Target="https://www.instagram.com/p/DXFnSNCqmHi/" TargetMode="External"/><Relationship Id="rId102" Type="http://schemas.openxmlformats.org/officeDocument/2006/relationships/hyperlink" Target="https://www.instagram.com/p/DVHou5oCprG/" TargetMode="External"/><Relationship Id="rId144" Type="http://schemas.openxmlformats.org/officeDocument/2006/relationships/hyperlink" Target="https://www.instagram.com/p/DayaAOviIHl/" TargetMode="External"/><Relationship Id="rId90" Type="http://schemas.openxmlformats.org/officeDocument/2006/relationships/hyperlink" Target="https://www.instagram.com/p/DWG28LwFJp-/" TargetMode="External"/><Relationship Id="rId186" Type="http://schemas.openxmlformats.org/officeDocument/2006/relationships/hyperlink" Target="https://www.instagram.com/p/DWFP9bGgTO5/" TargetMode="External"/><Relationship Id="rId351" Type="http://schemas.openxmlformats.org/officeDocument/2006/relationships/hyperlink" Target="https://www.instagram.com/p/DcOWyNuo1de/" TargetMode="External"/><Relationship Id="rId393" Type="http://schemas.openxmlformats.org/officeDocument/2006/relationships/hyperlink" Target="https://www.instagram.com/p/DX__ivwFVSM/" TargetMode="External"/><Relationship Id="rId407" Type="http://schemas.openxmlformats.org/officeDocument/2006/relationships/hyperlink" Target="https://www.instagram.com/p/DW93M7sAdXN/" TargetMode="External"/><Relationship Id="rId449" Type="http://schemas.openxmlformats.org/officeDocument/2006/relationships/hyperlink" Target="https://www.instagram.com/p/DeO6M0ixZ3w/" TargetMode="External"/><Relationship Id="rId211" Type="http://schemas.openxmlformats.org/officeDocument/2006/relationships/hyperlink" Target="https://www.instagram.com/p/DTyejQtDxnl/" TargetMode="External"/><Relationship Id="rId253" Type="http://schemas.openxmlformats.org/officeDocument/2006/relationships/hyperlink" Target="https://www.instagram.com/p/DbTmrjHibbm/" TargetMode="External"/><Relationship Id="rId295" Type="http://schemas.openxmlformats.org/officeDocument/2006/relationships/hyperlink" Target="https://www.instagram.com/p/DXzrKIRCXG6/" TargetMode="External"/><Relationship Id="rId309" Type="http://schemas.openxmlformats.org/officeDocument/2006/relationships/hyperlink" Target="https://www.instagram.com/p/DWjnGfBj9AR/" TargetMode="External"/><Relationship Id="rId460" Type="http://schemas.openxmlformats.org/officeDocument/2006/relationships/hyperlink" Target="https://www.instagram.com/p/DeHGGUfxuBu/" TargetMode="External"/><Relationship Id="rId516" Type="http://schemas.openxmlformats.org/officeDocument/2006/relationships/hyperlink" Target="https://www.instagram.com/p/DdEPX9JxteF/" TargetMode="External"/><Relationship Id="rId48" Type="http://schemas.openxmlformats.org/officeDocument/2006/relationships/hyperlink" Target="https://www.instagram.com/p/DaVXMjGjEA4/" TargetMode="External"/><Relationship Id="rId113" Type="http://schemas.openxmlformats.org/officeDocument/2006/relationships/hyperlink" Target="https://www.instagram.com/p/Dd904aliZo4/" TargetMode="External"/><Relationship Id="rId320" Type="http://schemas.openxmlformats.org/officeDocument/2006/relationships/hyperlink" Target="https://www.instagram.com/p/DT-zly5Dl-N/" TargetMode="External"/><Relationship Id="rId155" Type="http://schemas.openxmlformats.org/officeDocument/2006/relationships/hyperlink" Target="https://www.instagram.com/p/DZYSLy6jDfY/" TargetMode="External"/><Relationship Id="rId197" Type="http://schemas.openxmlformats.org/officeDocument/2006/relationships/hyperlink" Target="https://www.instagram.com/p/DVMmZ4JDlP5/" TargetMode="External"/><Relationship Id="rId362" Type="http://schemas.openxmlformats.org/officeDocument/2006/relationships/hyperlink" Target="https://www.instagram.com/p/DaxqD2DDQB8/" TargetMode="External"/><Relationship Id="rId418" Type="http://schemas.openxmlformats.org/officeDocument/2006/relationships/hyperlink" Target="https://www.instagram.com/p/DWT2BSqlSGU/" TargetMode="External"/><Relationship Id="rId222" Type="http://schemas.openxmlformats.org/officeDocument/2006/relationships/hyperlink" Target="https://www.instagram.com/p/DdbgJ3xiJr6/" TargetMode="External"/><Relationship Id="rId264" Type="http://schemas.openxmlformats.org/officeDocument/2006/relationships/hyperlink" Target="https://www.instagram.com/p/DaVRv1rFB5a/" TargetMode="External"/><Relationship Id="rId471" Type="http://schemas.openxmlformats.org/officeDocument/2006/relationships/hyperlink" Target="https://www.instagram.com/p/Dd7H5WuI1P4/" TargetMode="External"/><Relationship Id="rId17" Type="http://schemas.openxmlformats.org/officeDocument/2006/relationships/hyperlink" Target="https://www.instagram.com/p/DdSDpZZRhHV/" TargetMode="External"/><Relationship Id="rId59" Type="http://schemas.openxmlformats.org/officeDocument/2006/relationships/hyperlink" Target="https://www.instagram.com/p/DZqamOlFhDv/" TargetMode="External"/><Relationship Id="rId124" Type="http://schemas.openxmlformats.org/officeDocument/2006/relationships/hyperlink" Target="https://www.instagram.com/p/Dc64J90ja5Z/" TargetMode="External"/><Relationship Id="rId527" Type="http://schemas.openxmlformats.org/officeDocument/2006/relationships/hyperlink" Target="https://www.instagram.com/p/DcwKVBbxjt7/" TargetMode="External"/><Relationship Id="rId70" Type="http://schemas.openxmlformats.org/officeDocument/2006/relationships/hyperlink" Target="https://www.instagram.com/p/DYky5hQKs3h/" TargetMode="External"/><Relationship Id="rId166" Type="http://schemas.openxmlformats.org/officeDocument/2006/relationships/hyperlink" Target="https://www.instagram.com/p/DYDT_i9k-yf/" TargetMode="External"/><Relationship Id="rId331" Type="http://schemas.openxmlformats.org/officeDocument/2006/relationships/hyperlink" Target="https://www.instagram.com/p/DdrEiDkRN_W/" TargetMode="External"/><Relationship Id="rId373" Type="http://schemas.openxmlformats.org/officeDocument/2006/relationships/hyperlink" Target="https://www.instagram.com/p/DZXiZ95gJ18/" TargetMode="External"/><Relationship Id="rId429" Type="http://schemas.openxmlformats.org/officeDocument/2006/relationships/hyperlink" Target="https://www.instagram.com/p/DebtSMoR0ml/" TargetMode="External"/><Relationship Id="rId1" Type="http://schemas.openxmlformats.org/officeDocument/2006/relationships/hyperlink" Target="https://www.instagram.com/p/DeZ6krAx6Oz/" TargetMode="External"/><Relationship Id="rId233" Type="http://schemas.openxmlformats.org/officeDocument/2006/relationships/hyperlink" Target="https://www.instagram.com/p/DctMtzFHweQ/" TargetMode="External"/><Relationship Id="rId440" Type="http://schemas.openxmlformats.org/officeDocument/2006/relationships/hyperlink" Target="https://www.instagram.com/p/DeSBWiRxIJS/" TargetMode="External"/><Relationship Id="rId28" Type="http://schemas.openxmlformats.org/officeDocument/2006/relationships/hyperlink" Target="https://www.instagram.com/p/DcUXFMsq9Fd/" TargetMode="External"/><Relationship Id="rId275" Type="http://schemas.openxmlformats.org/officeDocument/2006/relationships/hyperlink" Target="https://www.instagram.com/p/DZXh5znlCbw/" TargetMode="External"/><Relationship Id="rId300" Type="http://schemas.openxmlformats.org/officeDocument/2006/relationships/hyperlink" Target="https://www.instagram.com/p/DXPYrsvgYDB/" TargetMode="External"/><Relationship Id="rId482" Type="http://schemas.openxmlformats.org/officeDocument/2006/relationships/hyperlink" Target="https://www.instagram.com/p/DduBpnexLS6/" TargetMode="External"/><Relationship Id="rId81" Type="http://schemas.openxmlformats.org/officeDocument/2006/relationships/hyperlink" Target="https://www.instagram.com/p/DW4sOb6irjA/" TargetMode="External"/><Relationship Id="rId135" Type="http://schemas.openxmlformats.org/officeDocument/2006/relationships/hyperlink" Target="https://www.instagram.com/p/DbtoSJMj-V1/" TargetMode="External"/><Relationship Id="rId177" Type="http://schemas.openxmlformats.org/officeDocument/2006/relationships/hyperlink" Target="https://www.instagram.com/p/DXFn1LnFc_R/" TargetMode="External"/><Relationship Id="rId342" Type="http://schemas.openxmlformats.org/officeDocument/2006/relationships/hyperlink" Target="https://www.instagram.com/p/DdB21LljFZE/" TargetMode="External"/><Relationship Id="rId384" Type="http://schemas.openxmlformats.org/officeDocument/2006/relationships/hyperlink" Target="https://www.instagram.com/p/DYmnYaTD9jg/" TargetMode="External"/><Relationship Id="rId202" Type="http://schemas.openxmlformats.org/officeDocument/2006/relationships/hyperlink" Target="https://www.instagram.com/p/DUts1XjCk2r/" TargetMode="External"/><Relationship Id="rId244" Type="http://schemas.openxmlformats.org/officeDocument/2006/relationships/hyperlink" Target="https://www.instagram.com/p/Db53E7yCM4X/" TargetMode="External"/><Relationship Id="rId39" Type="http://schemas.openxmlformats.org/officeDocument/2006/relationships/hyperlink" Target="https://www.instagram.com/p/DbQm6uVjHb7/" TargetMode="External"/><Relationship Id="rId286" Type="http://schemas.openxmlformats.org/officeDocument/2006/relationships/hyperlink" Target="https://www.instagram.com/p/DYfNUK6nAvN/" TargetMode="External"/><Relationship Id="rId451" Type="http://schemas.openxmlformats.org/officeDocument/2006/relationships/hyperlink" Target="https://www.instagram.com/p/DeMqjMmx4IB/" TargetMode="External"/><Relationship Id="rId493" Type="http://schemas.openxmlformats.org/officeDocument/2006/relationships/hyperlink" Target="https://www.instagram.com/p/DdkdCAehmhE/" TargetMode="External"/><Relationship Id="rId507" Type="http://schemas.openxmlformats.org/officeDocument/2006/relationships/hyperlink" Target="https://www.instagram.com/p/DdRxOrTR7KH/" TargetMode="External"/><Relationship Id="rId50" Type="http://schemas.openxmlformats.org/officeDocument/2006/relationships/hyperlink" Target="https://www.instagram.com/p/DaOFzz2KQLA/" TargetMode="External"/><Relationship Id="rId104" Type="http://schemas.openxmlformats.org/officeDocument/2006/relationships/hyperlink" Target="https://www.instagram.com/p/DVCcIe1ipkR/" TargetMode="External"/><Relationship Id="rId146" Type="http://schemas.openxmlformats.org/officeDocument/2006/relationships/hyperlink" Target="https://www.instagram.com/p/DabO4P7jFRn/" TargetMode="External"/><Relationship Id="rId188" Type="http://schemas.openxmlformats.org/officeDocument/2006/relationships/hyperlink" Target="https://www.instagram.com/p/DVzOTMaCDuY/" TargetMode="External"/><Relationship Id="rId311" Type="http://schemas.openxmlformats.org/officeDocument/2006/relationships/hyperlink" Target="https://www.instagram.com/p/DWUKVlMAXrP/" TargetMode="External"/><Relationship Id="rId353" Type="http://schemas.openxmlformats.org/officeDocument/2006/relationships/hyperlink" Target="https://www.instagram.com/p/Db8VdanH3KJ/" TargetMode="External"/><Relationship Id="rId395" Type="http://schemas.openxmlformats.org/officeDocument/2006/relationships/hyperlink" Target="https://www.instagram.com/p/DX613Khn-mq/" TargetMode="External"/><Relationship Id="rId409" Type="http://schemas.openxmlformats.org/officeDocument/2006/relationships/hyperlink" Target="https://www.instagram.com/p/DW35Bz3igm2/" TargetMode="External"/><Relationship Id="rId92" Type="http://schemas.openxmlformats.org/officeDocument/2006/relationships/hyperlink" Target="https://www.instagram.com/p/DWByToBDggd/" TargetMode="External"/><Relationship Id="rId213" Type="http://schemas.openxmlformats.org/officeDocument/2006/relationships/hyperlink" Target="https://www.instagram.com/p/DeSaAa7D8LL/" TargetMode="External"/><Relationship Id="rId420" Type="http://schemas.openxmlformats.org/officeDocument/2006/relationships/hyperlink" Target="https://www.instagram.com/p/DWOsX-tljPz/" TargetMode="External"/><Relationship Id="rId255" Type="http://schemas.openxmlformats.org/officeDocument/2006/relationships/hyperlink" Target="https://www.instagram.com/p/DbI_YcRkZZZ/" TargetMode="External"/><Relationship Id="rId297" Type="http://schemas.openxmlformats.org/officeDocument/2006/relationships/hyperlink" Target="https://www.instagram.com/p/DXrfEW0EdoZ/" TargetMode="External"/><Relationship Id="rId462" Type="http://schemas.openxmlformats.org/officeDocument/2006/relationships/hyperlink" Target="https://www.instagram.com/p/DeAcFoUvPlK/" TargetMode="External"/><Relationship Id="rId518" Type="http://schemas.openxmlformats.org/officeDocument/2006/relationships/hyperlink" Target="https://www.instagram.com/p/DdCOSzzRFo4/" TargetMode="External"/><Relationship Id="rId115" Type="http://schemas.openxmlformats.org/officeDocument/2006/relationships/hyperlink" Target="https://www.instagram.com/p/DdvcuHCiDuf/" TargetMode="External"/><Relationship Id="rId157" Type="http://schemas.openxmlformats.org/officeDocument/2006/relationships/hyperlink" Target="https://www.instagram.com/p/DY2z6XZiZMV/" TargetMode="External"/><Relationship Id="rId322" Type="http://schemas.openxmlformats.org/officeDocument/2006/relationships/hyperlink" Target="https://www.instagram.com/p/DeZaMuDlWaR/" TargetMode="External"/><Relationship Id="rId364" Type="http://schemas.openxmlformats.org/officeDocument/2006/relationships/hyperlink" Target="https://www.instagram.com/p/DaVA2cbFlET/" TargetMode="External"/><Relationship Id="rId61" Type="http://schemas.openxmlformats.org/officeDocument/2006/relationships/hyperlink" Target="https://www.instagram.com/p/DZhnKa_KOYh/" TargetMode="External"/><Relationship Id="rId199" Type="http://schemas.openxmlformats.org/officeDocument/2006/relationships/hyperlink" Target="https://www.instagram.com/p/DU9JmsmD9sC/" TargetMode="External"/><Relationship Id="rId19" Type="http://schemas.openxmlformats.org/officeDocument/2006/relationships/hyperlink" Target="https://www.instagram.com/p/DdHqB8CRwyZ/" TargetMode="External"/><Relationship Id="rId224" Type="http://schemas.openxmlformats.org/officeDocument/2006/relationships/hyperlink" Target="https://www.instagram.com/p/DdUMomtFcEU/" TargetMode="External"/><Relationship Id="rId266" Type="http://schemas.openxmlformats.org/officeDocument/2006/relationships/hyperlink" Target="https://www.instagram.com/p/DaDUPvUxwJ5/" TargetMode="External"/><Relationship Id="rId431" Type="http://schemas.openxmlformats.org/officeDocument/2006/relationships/hyperlink" Target="https://www.instagram.com/p/DeZ20EGxMJE/" TargetMode="External"/><Relationship Id="rId473" Type="http://schemas.openxmlformats.org/officeDocument/2006/relationships/hyperlink" Target="https://www.instagram.com/p/Dd6m541RoZL/" TargetMode="External"/><Relationship Id="rId529" Type="http://schemas.openxmlformats.org/officeDocument/2006/relationships/hyperlink" Target="https://www.instagram.com/p/Dcs-SCBx2Ek/" TargetMode="External"/><Relationship Id="rId30" Type="http://schemas.openxmlformats.org/officeDocument/2006/relationships/hyperlink" Target="https://www.instagram.com/p/DcOc_zLqyZw/" TargetMode="External"/><Relationship Id="rId126" Type="http://schemas.openxmlformats.org/officeDocument/2006/relationships/hyperlink" Target="https://www.instagram.com/p/Dcwk9_bFb-d/" TargetMode="External"/><Relationship Id="rId168" Type="http://schemas.openxmlformats.org/officeDocument/2006/relationships/hyperlink" Target="https://www.instagram.com/p/DX2jZcODWHc/" TargetMode="External"/><Relationship Id="rId333" Type="http://schemas.openxmlformats.org/officeDocument/2006/relationships/hyperlink" Target="https://www.instagram.com/p/Ddoe8dbjewU/" TargetMode="External"/><Relationship Id="rId72" Type="http://schemas.openxmlformats.org/officeDocument/2006/relationships/hyperlink" Target="https://www.instagram.com/p/DYSxnKqqRbk/" TargetMode="External"/><Relationship Id="rId375" Type="http://schemas.openxmlformats.org/officeDocument/2006/relationships/hyperlink" Target="https://www.instagram.com/p/DZNQQu5FWcZ/" TargetMode="External"/><Relationship Id="rId3" Type="http://schemas.openxmlformats.org/officeDocument/2006/relationships/hyperlink" Target="https://www.instagram.com/p/DeNSQXoxClk/" TargetMode="External"/><Relationship Id="rId235" Type="http://schemas.openxmlformats.org/officeDocument/2006/relationships/hyperlink" Target="https://www.instagram.com/p/DcjE674F-WJ/" TargetMode="External"/><Relationship Id="rId277" Type="http://schemas.openxmlformats.org/officeDocument/2006/relationships/hyperlink" Target="https://www.instagram.com/p/DZNYZYLPo-U/" TargetMode="External"/><Relationship Id="rId400" Type="http://schemas.openxmlformats.org/officeDocument/2006/relationships/hyperlink" Target="https://www.instagram.com/p/DXo0M9lH_tL/" TargetMode="External"/><Relationship Id="rId442" Type="http://schemas.openxmlformats.org/officeDocument/2006/relationships/hyperlink" Target="https://www.instagram.com/p/DeRvmvvxMYR/" TargetMode="External"/><Relationship Id="rId484" Type="http://schemas.openxmlformats.org/officeDocument/2006/relationships/hyperlink" Target="https://www.instagram.com/p/DdtbfWoRaZO/" TargetMode="External"/><Relationship Id="rId137" Type="http://schemas.openxmlformats.org/officeDocument/2006/relationships/hyperlink" Target="https://www.instagram.com/p/DbT4VVAiY58/" TargetMode="External"/><Relationship Id="rId302" Type="http://schemas.openxmlformats.org/officeDocument/2006/relationships/hyperlink" Target="https://www.instagram.com/p/DXMZ9aujLIi/" TargetMode="External"/><Relationship Id="rId344" Type="http://schemas.openxmlformats.org/officeDocument/2006/relationships/hyperlink" Target="https://www.instagram.com/p/Dc0-7W-my-q/" TargetMode="External"/><Relationship Id="rId41" Type="http://schemas.openxmlformats.org/officeDocument/2006/relationships/hyperlink" Target="https://www.instagram.com/p/DbBzxIxRtwW/" TargetMode="External"/><Relationship Id="rId83" Type="http://schemas.openxmlformats.org/officeDocument/2006/relationships/hyperlink" Target="https://www.instagram.com/p/DWo0BKZjOzX/" TargetMode="External"/><Relationship Id="rId179" Type="http://schemas.openxmlformats.org/officeDocument/2006/relationships/hyperlink" Target="https://www.instagram.com/p/DW4vN0bDz6s/" TargetMode="External"/><Relationship Id="rId386" Type="http://schemas.openxmlformats.org/officeDocument/2006/relationships/hyperlink" Target="https://www.instagram.com/p/DYhePMHnLx0/" TargetMode="External"/><Relationship Id="rId190" Type="http://schemas.openxmlformats.org/officeDocument/2006/relationships/hyperlink" Target="https://www.instagram.com/p/DVt0hD-jUTH/" TargetMode="External"/><Relationship Id="rId204" Type="http://schemas.openxmlformats.org/officeDocument/2006/relationships/hyperlink" Target="https://www.instagram.com/p/DUT85tYj8OY/" TargetMode="External"/><Relationship Id="rId246" Type="http://schemas.openxmlformats.org/officeDocument/2006/relationships/hyperlink" Target="https://www.instagram.com/p/Dbs_7ZBDeSv/" TargetMode="External"/><Relationship Id="rId288" Type="http://schemas.openxmlformats.org/officeDocument/2006/relationships/hyperlink" Target="https://www.instagram.com/p/DYU6ImhgTHh/" TargetMode="External"/><Relationship Id="rId411" Type="http://schemas.openxmlformats.org/officeDocument/2006/relationships/hyperlink" Target="https://www.instagram.com/p/DWyyzyiIBCB/" TargetMode="External"/><Relationship Id="rId453" Type="http://schemas.openxmlformats.org/officeDocument/2006/relationships/hyperlink" Target="https://www.instagram.com/p/DeMfh_1RtsD/" TargetMode="External"/><Relationship Id="rId509" Type="http://schemas.openxmlformats.org/officeDocument/2006/relationships/hyperlink" Target="https://www.instagram.com/p/DdRJHqvRjgq/" TargetMode="External"/><Relationship Id="rId106" Type="http://schemas.openxmlformats.org/officeDocument/2006/relationships/hyperlink" Target="https://www.instagram.com/p/DU9SOSfivJW/" TargetMode="External"/><Relationship Id="rId313" Type="http://schemas.openxmlformats.org/officeDocument/2006/relationships/hyperlink" Target="https://www.instagram.com/p/DWPO2rQp5_L/" TargetMode="External"/><Relationship Id="rId495" Type="http://schemas.openxmlformats.org/officeDocument/2006/relationships/hyperlink" Target="https://www.instagram.com/p/DdcGv3LppNt/" TargetMode="External"/><Relationship Id="rId10" Type="http://schemas.openxmlformats.org/officeDocument/2006/relationships/hyperlink" Target="https://www.instagram.com/p/DdpHWM_Rgd0/" TargetMode="External"/><Relationship Id="rId52" Type="http://schemas.openxmlformats.org/officeDocument/2006/relationships/hyperlink" Target="https://www.instagram.com/p/DaGcrTEKQjm/" TargetMode="External"/><Relationship Id="rId94" Type="http://schemas.openxmlformats.org/officeDocument/2006/relationships/hyperlink" Target="https://www.instagram.com/p/DVuPDT3DObN/" TargetMode="External"/><Relationship Id="rId148" Type="http://schemas.openxmlformats.org/officeDocument/2006/relationships/hyperlink" Target="https://www.instagram.com/p/DZ-6HMnCBnZ/" TargetMode="External"/><Relationship Id="rId355" Type="http://schemas.openxmlformats.org/officeDocument/2006/relationships/hyperlink" Target="https://www.instagram.com/p/Db3SIktPGUJ/" TargetMode="External"/><Relationship Id="rId397" Type="http://schemas.openxmlformats.org/officeDocument/2006/relationships/hyperlink" Target="https://www.instagram.com/p/DXwizdZnWlU/" TargetMode="External"/><Relationship Id="rId520" Type="http://schemas.openxmlformats.org/officeDocument/2006/relationships/hyperlink" Target="https://www.instagram.com/p/Dc_RZ1UxYh7/" TargetMode="External"/><Relationship Id="rId215" Type="http://schemas.openxmlformats.org/officeDocument/2006/relationships/hyperlink" Target="https://www.instagram.com/p/DeKEpnXDWrq/" TargetMode="External"/><Relationship Id="rId257" Type="http://schemas.openxmlformats.org/officeDocument/2006/relationships/hyperlink" Target="https://www.instagram.com/p/Da2ssYrFAbw/" TargetMode="External"/><Relationship Id="rId422" Type="http://schemas.openxmlformats.org/officeDocument/2006/relationships/hyperlink" Target="https://www.instagram.com/p/DV_PfhkFuZl/" TargetMode="External"/><Relationship Id="rId464" Type="http://schemas.openxmlformats.org/officeDocument/2006/relationships/hyperlink" Target="https://www.instagram.com/p/DeAARU-xuAs/" TargetMode="External"/><Relationship Id="rId299" Type="http://schemas.openxmlformats.org/officeDocument/2006/relationships/hyperlink" Target="https://www.instagram.com/p/DXXUplAjxAB/" TargetMode="External"/><Relationship Id="rId63" Type="http://schemas.openxmlformats.org/officeDocument/2006/relationships/hyperlink" Target="https://www.instagram.com/p/DZdkaz6CbIU/" TargetMode="External"/><Relationship Id="rId159" Type="http://schemas.openxmlformats.org/officeDocument/2006/relationships/hyperlink" Target="https://www.instagram.com/p/DYvFdyHiHim/" TargetMode="External"/><Relationship Id="rId366" Type="http://schemas.openxmlformats.org/officeDocument/2006/relationships/hyperlink" Target="https://www.instagram.com/p/DZ7lXaRE6sA/" TargetMode="External"/><Relationship Id="rId226" Type="http://schemas.openxmlformats.org/officeDocument/2006/relationships/hyperlink" Target="https://www.instagram.com/p/DdHHPnmj6nA/" TargetMode="External"/><Relationship Id="rId433" Type="http://schemas.openxmlformats.org/officeDocument/2006/relationships/hyperlink" Target="https://www.instagram.com/p/DeZWECdRtT_/" TargetMode="External"/><Relationship Id="rId74" Type="http://schemas.openxmlformats.org/officeDocument/2006/relationships/hyperlink" Target="https://www.instagram.com/p/DXpgjJIFBma/" TargetMode="External"/><Relationship Id="rId377" Type="http://schemas.openxmlformats.org/officeDocument/2006/relationships/hyperlink" Target="https://www.instagram.com/p/DZIFrRXAPDD/" TargetMode="External"/><Relationship Id="rId500" Type="http://schemas.openxmlformats.org/officeDocument/2006/relationships/hyperlink" Target="https://www.instagram.com/p/DdY2zVpRDPA/" TargetMode="External"/><Relationship Id="rId5" Type="http://schemas.openxmlformats.org/officeDocument/2006/relationships/hyperlink" Target="https://www.instagram.com/p/DeCeWVRKJfJ/" TargetMode="External"/><Relationship Id="rId237" Type="http://schemas.openxmlformats.org/officeDocument/2006/relationships/hyperlink" Target="https://www.instagram.com/p/DcbLFntGQp0/" TargetMode="External"/></Relationships>
</file>

<file path=xl/worksheets/_rels/sheet16.xml.rels><?xml version="1.0" encoding="UTF-8" standalone="yes"?>
<Relationships xmlns="http://schemas.openxmlformats.org/package/2006/relationships"><Relationship Id="rId117" Type="http://schemas.openxmlformats.org/officeDocument/2006/relationships/hyperlink" Target="https://www.instagram.com/p/Da2ssYrFAbw/" TargetMode="External"/><Relationship Id="rId299" Type="http://schemas.openxmlformats.org/officeDocument/2006/relationships/hyperlink" Target="https://www.instagram.com/p/DWl3k5bDdGr/" TargetMode="External"/><Relationship Id="rId21" Type="http://schemas.openxmlformats.org/officeDocument/2006/relationships/hyperlink" Target="https://www.instagram.com/p/DZ_A9FXCdNn/" TargetMode="External"/><Relationship Id="rId63" Type="http://schemas.openxmlformats.org/officeDocument/2006/relationships/hyperlink" Target="https://www.instagram.com/p/DdHHPnmj6nA/" TargetMode="External"/><Relationship Id="rId159" Type="http://schemas.openxmlformats.org/officeDocument/2006/relationships/hyperlink" Target="https://www.instagram.com/p/DbDvAkLETWc/" TargetMode="External"/><Relationship Id="rId324" Type="http://schemas.openxmlformats.org/officeDocument/2006/relationships/hyperlink" Target="https://www.instagram.com/p/DWPemtkEqIm/" TargetMode="External"/><Relationship Id="rId366" Type="http://schemas.openxmlformats.org/officeDocument/2006/relationships/hyperlink" Target="https://www.instagram.com/p/DdUXxspJ2Ip/" TargetMode="External"/><Relationship Id="rId170" Type="http://schemas.openxmlformats.org/officeDocument/2006/relationships/hyperlink" Target="https://www.instagram.com/p/DaAyUuClN8S/" TargetMode="External"/><Relationship Id="rId226" Type="http://schemas.openxmlformats.org/officeDocument/2006/relationships/hyperlink" Target="https://www.instagram.com/p/DbLZ7objjlt/" TargetMode="External"/><Relationship Id="rId433" Type="http://schemas.openxmlformats.org/officeDocument/2006/relationships/hyperlink" Target="https://www.instagram.com/p/DeS5fh7ib_J/" TargetMode="External"/><Relationship Id="rId268" Type="http://schemas.openxmlformats.org/officeDocument/2006/relationships/hyperlink" Target="https://www.instagram.com/p/DXt9tlACQRU/" TargetMode="External"/><Relationship Id="rId32" Type="http://schemas.openxmlformats.org/officeDocument/2006/relationships/hyperlink" Target="https://www.instagram.com/p/Ddj8E6dR8TI/" TargetMode="External"/><Relationship Id="rId74" Type="http://schemas.openxmlformats.org/officeDocument/2006/relationships/hyperlink" Target="https://www.instagram.com/p/DW4iDiPDzKJ/" TargetMode="External"/><Relationship Id="rId128" Type="http://schemas.openxmlformats.org/officeDocument/2006/relationships/hyperlink" Target="https://www.instagram.com/p/DXE-rWwkcxz/" TargetMode="External"/><Relationship Id="rId335" Type="http://schemas.openxmlformats.org/officeDocument/2006/relationships/hyperlink" Target="https://www.instagram.com/p/DXcLrPak7SL/" TargetMode="External"/><Relationship Id="rId377" Type="http://schemas.openxmlformats.org/officeDocument/2006/relationships/hyperlink" Target="https://www.instagram.com/p/Dd7QI2Hpwrh/" TargetMode="External"/><Relationship Id="rId5" Type="http://schemas.openxmlformats.org/officeDocument/2006/relationships/hyperlink" Target="https://www.instagram.com/p/Db34m0zRF6y/" TargetMode="External"/><Relationship Id="rId181" Type="http://schemas.openxmlformats.org/officeDocument/2006/relationships/hyperlink" Target="https://www.instagram.com/p/DXXUplAjxAB/" TargetMode="External"/><Relationship Id="rId237" Type="http://schemas.openxmlformats.org/officeDocument/2006/relationships/hyperlink" Target="https://www.instagram.com/p/DcOWyNuo1de/" TargetMode="External"/><Relationship Id="rId402" Type="http://schemas.openxmlformats.org/officeDocument/2006/relationships/hyperlink" Target="https://www.instagram.com/p/DeOxVQGFooP/" TargetMode="External"/><Relationship Id="rId279" Type="http://schemas.openxmlformats.org/officeDocument/2006/relationships/hyperlink" Target="https://www.instagram.com/p/DZIFrRXAPDD/" TargetMode="External"/><Relationship Id="rId444" Type="http://schemas.openxmlformats.org/officeDocument/2006/relationships/hyperlink" Target="https://www.instagram.com/p/Dd7H5WuI1P4/" TargetMode="External"/><Relationship Id="rId43" Type="http://schemas.openxmlformats.org/officeDocument/2006/relationships/hyperlink" Target="https://www.instagram.com/p/DeFjQmjgVtF/" TargetMode="External"/><Relationship Id="rId139" Type="http://schemas.openxmlformats.org/officeDocument/2006/relationships/hyperlink" Target="https://www.instagram.com/p/DZvB8WyAcSQ/" TargetMode="External"/><Relationship Id="rId290" Type="http://schemas.openxmlformats.org/officeDocument/2006/relationships/hyperlink" Target="https://www.instagram.com/p/DZIFrRXAPDD/" TargetMode="External"/><Relationship Id="rId304" Type="http://schemas.openxmlformats.org/officeDocument/2006/relationships/hyperlink" Target="https://www.instagram.com/p/DdFkb2MxhNl/" TargetMode="External"/><Relationship Id="rId346" Type="http://schemas.openxmlformats.org/officeDocument/2006/relationships/hyperlink" Target="https://www.instagram.com/p/DV8qzI-Fjug/" TargetMode="External"/><Relationship Id="rId388" Type="http://schemas.openxmlformats.org/officeDocument/2006/relationships/hyperlink" Target="https://www.instagram.com/p/Dd7QI2Hpwrh/" TargetMode="External"/><Relationship Id="rId85" Type="http://schemas.openxmlformats.org/officeDocument/2006/relationships/hyperlink" Target="https://www.instagram.com/p/DdB9bmdkjLV/" TargetMode="External"/><Relationship Id="rId150" Type="http://schemas.openxmlformats.org/officeDocument/2006/relationships/hyperlink" Target="https://www.instagram.com/p/DbDvAkLETWc/" TargetMode="External"/><Relationship Id="rId192" Type="http://schemas.openxmlformats.org/officeDocument/2006/relationships/hyperlink" Target="https://www.instagram.com/p/DWHSbY0gPkZ/" TargetMode="External"/><Relationship Id="rId206" Type="http://schemas.openxmlformats.org/officeDocument/2006/relationships/hyperlink" Target="https://www.instagram.com/p/DYPfSG5EtlC/" TargetMode="External"/><Relationship Id="rId413" Type="http://schemas.openxmlformats.org/officeDocument/2006/relationships/hyperlink" Target="https://www.instagram.com/p/DdcGv3LppNt/" TargetMode="External"/><Relationship Id="rId248" Type="http://schemas.openxmlformats.org/officeDocument/2006/relationships/hyperlink" Target="https://www.instagram.com/p/DcOWyNuo1de/" TargetMode="External"/><Relationship Id="rId455" Type="http://schemas.openxmlformats.org/officeDocument/2006/relationships/hyperlink" Target="https://www.instagram.com/p/DeMm9LoxQoU/" TargetMode="External"/><Relationship Id="rId12" Type="http://schemas.openxmlformats.org/officeDocument/2006/relationships/hyperlink" Target="https://www.instagram.com/p/DZgHdwTFulq/" TargetMode="External"/><Relationship Id="rId108" Type="http://schemas.openxmlformats.org/officeDocument/2006/relationships/hyperlink" Target="https://www.instagram.com/p/DafyszsDQoU/" TargetMode="External"/><Relationship Id="rId315" Type="http://schemas.openxmlformats.org/officeDocument/2006/relationships/hyperlink" Target="https://www.instagram.com/p/DdEbu5KDkLr/" TargetMode="External"/><Relationship Id="rId357" Type="http://schemas.openxmlformats.org/officeDocument/2006/relationships/hyperlink" Target="https://www.instagram.com/p/DdrDMCZlWFt/" TargetMode="External"/><Relationship Id="rId54" Type="http://schemas.openxmlformats.org/officeDocument/2006/relationships/hyperlink" Target="https://www.instagram.com/p/DdHHPnmj6nA/" TargetMode="External"/><Relationship Id="rId96" Type="http://schemas.openxmlformats.org/officeDocument/2006/relationships/hyperlink" Target="https://www.instagram.com/p/DdB9bmdkjLV/" TargetMode="External"/><Relationship Id="rId161" Type="http://schemas.openxmlformats.org/officeDocument/2006/relationships/hyperlink" Target="https://www.instagram.com/p/DaAyUuClN8S/" TargetMode="External"/><Relationship Id="rId217" Type="http://schemas.openxmlformats.org/officeDocument/2006/relationships/hyperlink" Target="https://www.instagram.com/p/DV_v43Vj9I8/" TargetMode="External"/><Relationship Id="rId399" Type="http://schemas.openxmlformats.org/officeDocument/2006/relationships/hyperlink" Target="https://www.instagram.com/p/DeOxVQGFooP/" TargetMode="External"/><Relationship Id="rId259" Type="http://schemas.openxmlformats.org/officeDocument/2006/relationships/hyperlink" Target="https://www.instagram.com/p/Ddbm28IjYqM/" TargetMode="External"/><Relationship Id="rId424" Type="http://schemas.openxmlformats.org/officeDocument/2006/relationships/hyperlink" Target="https://www.instagram.com/p/DdFAmyHpX-l/" TargetMode="External"/><Relationship Id="rId466" Type="http://schemas.openxmlformats.org/officeDocument/2006/relationships/hyperlink" Target="https://www.instagram.com/p/DeHL5cwxF13/" TargetMode="External"/><Relationship Id="rId23" Type="http://schemas.openxmlformats.org/officeDocument/2006/relationships/hyperlink" Target="https://www.instagram.com/p/DZ_A9FXCdNn/" TargetMode="External"/><Relationship Id="rId119" Type="http://schemas.openxmlformats.org/officeDocument/2006/relationships/hyperlink" Target="https://www.instagram.com/p/Da2ssYrFAbw/" TargetMode="External"/><Relationship Id="rId270" Type="http://schemas.openxmlformats.org/officeDocument/2006/relationships/hyperlink" Target="https://www.instagram.com/p/DXt9tlACQRU/" TargetMode="External"/><Relationship Id="rId326" Type="http://schemas.openxmlformats.org/officeDocument/2006/relationships/hyperlink" Target="https://www.instagram.com/p/DWPemtkEqIm/" TargetMode="External"/><Relationship Id="rId65" Type="http://schemas.openxmlformats.org/officeDocument/2006/relationships/hyperlink" Target="https://www.instagram.com/p/DdHHPnmj6nA/" TargetMode="External"/><Relationship Id="rId130" Type="http://schemas.openxmlformats.org/officeDocument/2006/relationships/hyperlink" Target="https://www.instagram.com/p/DXE-rWwkcxz/" TargetMode="External"/><Relationship Id="rId368" Type="http://schemas.openxmlformats.org/officeDocument/2006/relationships/hyperlink" Target="https://www.instagram.com/p/DdUXxspJ2Ip/" TargetMode="External"/><Relationship Id="rId172" Type="http://schemas.openxmlformats.org/officeDocument/2006/relationships/hyperlink" Target="https://www.instagram.com/p/DaAyUuClN8S/" TargetMode="External"/><Relationship Id="rId228" Type="http://schemas.openxmlformats.org/officeDocument/2006/relationships/hyperlink" Target="https://www.instagram.com/p/DbLZ7objjlt/" TargetMode="External"/><Relationship Id="rId435" Type="http://schemas.openxmlformats.org/officeDocument/2006/relationships/hyperlink" Target="https://www.instagram.com/p/Dd9Snh7xSjX/" TargetMode="External"/><Relationship Id="rId281" Type="http://schemas.openxmlformats.org/officeDocument/2006/relationships/hyperlink" Target="https://www.instagram.com/p/DZIFrRXAPDD/" TargetMode="External"/><Relationship Id="rId337" Type="http://schemas.openxmlformats.org/officeDocument/2006/relationships/hyperlink" Target="https://www.instagram.com/p/DXcLrPak7SL/" TargetMode="External"/><Relationship Id="rId34" Type="http://schemas.openxmlformats.org/officeDocument/2006/relationships/hyperlink" Target="https://www.instagram.com/p/DZvkLu6CT76/" TargetMode="External"/><Relationship Id="rId76" Type="http://schemas.openxmlformats.org/officeDocument/2006/relationships/hyperlink" Target="https://www.instagram.com/p/DW4iDiPDzKJ/" TargetMode="External"/><Relationship Id="rId141" Type="http://schemas.openxmlformats.org/officeDocument/2006/relationships/hyperlink" Target="https://www.instagram.com/p/DZvB8WyAcSQ/" TargetMode="External"/><Relationship Id="rId379" Type="http://schemas.openxmlformats.org/officeDocument/2006/relationships/hyperlink" Target="https://www.instagram.com/p/Dd7QI2Hpwrh/" TargetMode="External"/><Relationship Id="rId7" Type="http://schemas.openxmlformats.org/officeDocument/2006/relationships/hyperlink" Target="https://www.instagram.com/p/Db34m0zRF6y/" TargetMode="External"/><Relationship Id="rId183" Type="http://schemas.openxmlformats.org/officeDocument/2006/relationships/hyperlink" Target="https://www.instagram.com/p/DXXUplAjxAB/" TargetMode="External"/><Relationship Id="rId239" Type="http://schemas.openxmlformats.org/officeDocument/2006/relationships/hyperlink" Target="https://www.instagram.com/p/DcOWyNuo1de/" TargetMode="External"/><Relationship Id="rId390" Type="http://schemas.openxmlformats.org/officeDocument/2006/relationships/hyperlink" Target="https://www.instagram.com/p/DeOxVQGFooP/" TargetMode="External"/><Relationship Id="rId404" Type="http://schemas.openxmlformats.org/officeDocument/2006/relationships/hyperlink" Target="https://www.instagram.com/p/DdcGv3LppNt/" TargetMode="External"/><Relationship Id="rId446" Type="http://schemas.openxmlformats.org/officeDocument/2006/relationships/hyperlink" Target="https://www.instagram.com/p/DdoUtz5x_w7/" TargetMode="External"/><Relationship Id="rId250" Type="http://schemas.openxmlformats.org/officeDocument/2006/relationships/hyperlink" Target="https://www.instagram.com/p/Ddbm28IjYqM/" TargetMode="External"/><Relationship Id="rId292" Type="http://schemas.openxmlformats.org/officeDocument/2006/relationships/hyperlink" Target="https://www.instagram.com/p/DWl3k5bDdGr/" TargetMode="External"/><Relationship Id="rId306" Type="http://schemas.openxmlformats.org/officeDocument/2006/relationships/hyperlink" Target="https://www.instagram.com/p/DdFkb2MxhNl/" TargetMode="External"/><Relationship Id="rId45" Type="http://schemas.openxmlformats.org/officeDocument/2006/relationships/hyperlink" Target="https://www.instagram.com/p/DeFjQmjgVtF/" TargetMode="External"/><Relationship Id="rId87" Type="http://schemas.openxmlformats.org/officeDocument/2006/relationships/hyperlink" Target="https://www.instagram.com/p/DdB9bmdkjLV/" TargetMode="External"/><Relationship Id="rId110" Type="http://schemas.openxmlformats.org/officeDocument/2006/relationships/hyperlink" Target="https://www.instagram.com/p/DafyszsDQoU/" TargetMode="External"/><Relationship Id="rId348" Type="http://schemas.openxmlformats.org/officeDocument/2006/relationships/hyperlink" Target="https://www.instagram.com/p/DV8qzI-Fjug/" TargetMode="External"/><Relationship Id="rId152" Type="http://schemas.openxmlformats.org/officeDocument/2006/relationships/hyperlink" Target="https://www.instagram.com/p/DbDvAkLETWc/" TargetMode="External"/><Relationship Id="rId194" Type="http://schemas.openxmlformats.org/officeDocument/2006/relationships/hyperlink" Target="https://www.instagram.com/p/DWHSbY0gPkZ/" TargetMode="External"/><Relationship Id="rId208" Type="http://schemas.openxmlformats.org/officeDocument/2006/relationships/hyperlink" Target="https://www.instagram.com/p/DYPfSG5EtlC/" TargetMode="External"/><Relationship Id="rId415" Type="http://schemas.openxmlformats.org/officeDocument/2006/relationships/hyperlink" Target="https://www.instagram.com/p/DdcGv3LppNt/" TargetMode="External"/><Relationship Id="rId457" Type="http://schemas.openxmlformats.org/officeDocument/2006/relationships/hyperlink" Target="https://www.instagram.com/p/DeMm9LoxQoU/" TargetMode="External"/><Relationship Id="rId261" Type="http://schemas.openxmlformats.org/officeDocument/2006/relationships/hyperlink" Target="https://www.instagram.com/p/Ddbm28IjYqM/" TargetMode="External"/><Relationship Id="rId14" Type="http://schemas.openxmlformats.org/officeDocument/2006/relationships/hyperlink" Target="https://www.instagram.com/p/DZgHdwTFulq/" TargetMode="External"/><Relationship Id="rId56" Type="http://schemas.openxmlformats.org/officeDocument/2006/relationships/hyperlink" Target="https://www.instagram.com/p/DdHHPnmj6nA/" TargetMode="External"/><Relationship Id="rId317" Type="http://schemas.openxmlformats.org/officeDocument/2006/relationships/hyperlink" Target="https://www.instagram.com/p/DchVBgQBPYm/" TargetMode="External"/><Relationship Id="rId359" Type="http://schemas.openxmlformats.org/officeDocument/2006/relationships/hyperlink" Target="https://www.instagram.com/p/DdUXxspJ2Ip/" TargetMode="External"/><Relationship Id="rId98" Type="http://schemas.openxmlformats.org/officeDocument/2006/relationships/hyperlink" Target="https://www.instagram.com/p/DafyszsDQoU/" TargetMode="External"/><Relationship Id="rId121" Type="http://schemas.openxmlformats.org/officeDocument/2006/relationships/hyperlink" Target="https://www.instagram.com/p/Da2ssYrFAbw/" TargetMode="External"/><Relationship Id="rId163" Type="http://schemas.openxmlformats.org/officeDocument/2006/relationships/hyperlink" Target="https://www.instagram.com/p/DaAyUuClN8S/" TargetMode="External"/><Relationship Id="rId219" Type="http://schemas.openxmlformats.org/officeDocument/2006/relationships/hyperlink" Target="https://www.instagram.com/p/DV_v43Vj9I8/" TargetMode="External"/><Relationship Id="rId370" Type="http://schemas.openxmlformats.org/officeDocument/2006/relationships/hyperlink" Target="https://www.instagram.com/p/DdUXxspJ2Ip/" TargetMode="External"/><Relationship Id="rId426" Type="http://schemas.openxmlformats.org/officeDocument/2006/relationships/hyperlink" Target="https://www.instagram.com/p/DeS5fh7ib_J/" TargetMode="External"/><Relationship Id="rId230" Type="http://schemas.openxmlformats.org/officeDocument/2006/relationships/hyperlink" Target="https://www.instagram.com/p/DbLZ7objjlt/" TargetMode="External"/><Relationship Id="rId468" Type="http://schemas.openxmlformats.org/officeDocument/2006/relationships/hyperlink" Target="https://www.instagram.com/p/DeHL5cwxF13/" TargetMode="External"/><Relationship Id="rId25" Type="http://schemas.openxmlformats.org/officeDocument/2006/relationships/hyperlink" Target="https://www.instagram.com/p/DZ_A9FXCdNn/" TargetMode="External"/><Relationship Id="rId67" Type="http://schemas.openxmlformats.org/officeDocument/2006/relationships/hyperlink" Target="https://www.instagram.com/p/DW4iDiPDzKJ/" TargetMode="External"/><Relationship Id="rId272" Type="http://schemas.openxmlformats.org/officeDocument/2006/relationships/hyperlink" Target="https://www.instagram.com/p/DXt9tlACQRU/" TargetMode="External"/><Relationship Id="rId328" Type="http://schemas.openxmlformats.org/officeDocument/2006/relationships/hyperlink" Target="https://www.instagram.com/p/DWPemtkEqIm/" TargetMode="External"/><Relationship Id="rId132" Type="http://schemas.openxmlformats.org/officeDocument/2006/relationships/hyperlink" Target="https://www.instagram.com/p/DXE-rWwkcxz/" TargetMode="External"/><Relationship Id="rId174" Type="http://schemas.openxmlformats.org/officeDocument/2006/relationships/hyperlink" Target="https://www.instagram.com/p/DXXUplAjxAB/" TargetMode="External"/><Relationship Id="rId381" Type="http://schemas.openxmlformats.org/officeDocument/2006/relationships/hyperlink" Target="https://www.instagram.com/p/Dd7QI2Hpwrh/" TargetMode="External"/><Relationship Id="rId241" Type="http://schemas.openxmlformats.org/officeDocument/2006/relationships/hyperlink" Target="https://www.instagram.com/p/DcOWyNuo1de/" TargetMode="External"/><Relationship Id="rId437" Type="http://schemas.openxmlformats.org/officeDocument/2006/relationships/hyperlink" Target="https://www.instagram.com/p/Dd9Snh7xSjX/" TargetMode="External"/><Relationship Id="rId36" Type="http://schemas.openxmlformats.org/officeDocument/2006/relationships/hyperlink" Target="https://www.instagram.com/p/DZa92hCFsAJ/" TargetMode="External"/><Relationship Id="rId283" Type="http://schemas.openxmlformats.org/officeDocument/2006/relationships/hyperlink" Target="https://www.instagram.com/p/DZIFrRXAPDD/" TargetMode="External"/><Relationship Id="rId339" Type="http://schemas.openxmlformats.org/officeDocument/2006/relationships/hyperlink" Target="https://www.instagram.com/p/DW1UZeTE99V/" TargetMode="External"/><Relationship Id="rId78" Type="http://schemas.openxmlformats.org/officeDocument/2006/relationships/hyperlink" Target="https://www.instagram.com/p/DW4iDiPDzKJ/" TargetMode="External"/><Relationship Id="rId101" Type="http://schemas.openxmlformats.org/officeDocument/2006/relationships/hyperlink" Target="https://www.instagram.com/p/DafyszsDQoU/" TargetMode="External"/><Relationship Id="rId143" Type="http://schemas.openxmlformats.org/officeDocument/2006/relationships/hyperlink" Target="https://www.instagram.com/p/DZvB8WyAcSQ/" TargetMode="External"/><Relationship Id="rId185" Type="http://schemas.openxmlformats.org/officeDocument/2006/relationships/hyperlink" Target="https://www.instagram.com/p/DXXUplAjxAB/" TargetMode="External"/><Relationship Id="rId350" Type="http://schemas.openxmlformats.org/officeDocument/2006/relationships/hyperlink" Target="https://www.instagram.com/p/DV8qzI-Fjug/" TargetMode="External"/><Relationship Id="rId406" Type="http://schemas.openxmlformats.org/officeDocument/2006/relationships/hyperlink" Target="https://www.instagram.com/p/DdcGv3LppNt/" TargetMode="External"/><Relationship Id="rId9" Type="http://schemas.openxmlformats.org/officeDocument/2006/relationships/hyperlink" Target="https://www.instagram.com/p/DZ0m6tMiQSl/" TargetMode="External"/><Relationship Id="rId210" Type="http://schemas.openxmlformats.org/officeDocument/2006/relationships/hyperlink" Target="https://www.instagram.com/p/DYPfSG5EtlC/" TargetMode="External"/><Relationship Id="rId392" Type="http://schemas.openxmlformats.org/officeDocument/2006/relationships/hyperlink" Target="https://www.instagram.com/p/DeOxVQGFooP/" TargetMode="External"/><Relationship Id="rId448" Type="http://schemas.openxmlformats.org/officeDocument/2006/relationships/hyperlink" Target="https://www.instagram.com/p/DdoUtz5x_w7/" TargetMode="External"/><Relationship Id="rId252" Type="http://schemas.openxmlformats.org/officeDocument/2006/relationships/hyperlink" Target="https://www.instagram.com/p/Ddbm28IjYqM/" TargetMode="External"/><Relationship Id="rId294" Type="http://schemas.openxmlformats.org/officeDocument/2006/relationships/hyperlink" Target="https://www.instagram.com/p/DWl3k5bDdGr/" TargetMode="External"/><Relationship Id="rId308" Type="http://schemas.openxmlformats.org/officeDocument/2006/relationships/hyperlink" Target="https://www.instagram.com/p/DdEbu5KDkLr/" TargetMode="External"/><Relationship Id="rId47" Type="http://schemas.openxmlformats.org/officeDocument/2006/relationships/hyperlink" Target="https://www.instagram.com/p/Dd904aliZo4/" TargetMode="External"/><Relationship Id="rId89" Type="http://schemas.openxmlformats.org/officeDocument/2006/relationships/hyperlink" Target="https://www.instagram.com/p/DdB9bmdkjLV/" TargetMode="External"/><Relationship Id="rId112" Type="http://schemas.openxmlformats.org/officeDocument/2006/relationships/hyperlink" Target="https://www.instagram.com/p/Da2ssYrFAbw/" TargetMode="External"/><Relationship Id="rId154" Type="http://schemas.openxmlformats.org/officeDocument/2006/relationships/hyperlink" Target="https://www.instagram.com/p/DbDvAkLETWc/" TargetMode="External"/><Relationship Id="rId361" Type="http://schemas.openxmlformats.org/officeDocument/2006/relationships/hyperlink" Target="https://www.instagram.com/p/DdUXxspJ2Ip/" TargetMode="External"/><Relationship Id="rId196" Type="http://schemas.openxmlformats.org/officeDocument/2006/relationships/hyperlink" Target="https://www.instagram.com/p/DWHSbY0gPkZ/" TargetMode="External"/><Relationship Id="rId417" Type="http://schemas.openxmlformats.org/officeDocument/2006/relationships/hyperlink" Target="https://www.instagram.com/p/DdcGv3LppNt/" TargetMode="External"/><Relationship Id="rId459" Type="http://schemas.openxmlformats.org/officeDocument/2006/relationships/hyperlink" Target="https://www.instagram.com/p/DeSMEKWTpEc/" TargetMode="External"/><Relationship Id="rId16" Type="http://schemas.openxmlformats.org/officeDocument/2006/relationships/hyperlink" Target="https://www.instagram.com/p/DZgHdwTFulq/" TargetMode="External"/><Relationship Id="rId221" Type="http://schemas.openxmlformats.org/officeDocument/2006/relationships/hyperlink" Target="https://www.instagram.com/p/DV_v43Vj9I8/" TargetMode="External"/><Relationship Id="rId263" Type="http://schemas.openxmlformats.org/officeDocument/2006/relationships/hyperlink" Target="https://www.instagram.com/p/Ddbm28IjYqM/" TargetMode="External"/><Relationship Id="rId319" Type="http://schemas.openxmlformats.org/officeDocument/2006/relationships/hyperlink" Target="https://www.instagram.com/p/DchVBgQBPYm/" TargetMode="External"/><Relationship Id="rId470" Type="http://schemas.openxmlformats.org/officeDocument/2006/relationships/hyperlink" Target="https://www.instagram.com/p/Dd6m541RoZL/" TargetMode="External"/><Relationship Id="rId58" Type="http://schemas.openxmlformats.org/officeDocument/2006/relationships/hyperlink" Target="https://www.instagram.com/p/DdHHPnmj6nA/" TargetMode="External"/><Relationship Id="rId123" Type="http://schemas.openxmlformats.org/officeDocument/2006/relationships/hyperlink" Target="https://www.instagram.com/p/Da2ssYrFAbw/" TargetMode="External"/><Relationship Id="rId330" Type="http://schemas.openxmlformats.org/officeDocument/2006/relationships/hyperlink" Target="https://www.instagram.com/p/DdB21LljFZE/" TargetMode="External"/><Relationship Id="rId165" Type="http://schemas.openxmlformats.org/officeDocument/2006/relationships/hyperlink" Target="https://www.instagram.com/p/DaAyUuClN8S/" TargetMode="External"/><Relationship Id="rId372" Type="http://schemas.openxmlformats.org/officeDocument/2006/relationships/hyperlink" Target="https://www.instagram.com/p/DdUXxspJ2Ip/" TargetMode="External"/><Relationship Id="rId428" Type="http://schemas.openxmlformats.org/officeDocument/2006/relationships/hyperlink" Target="https://www.instagram.com/p/DeS5fh7ib_J/" TargetMode="External"/><Relationship Id="rId232" Type="http://schemas.openxmlformats.org/officeDocument/2006/relationships/hyperlink" Target="https://www.instagram.com/p/DbLZ7objjlt/" TargetMode="External"/><Relationship Id="rId274" Type="http://schemas.openxmlformats.org/officeDocument/2006/relationships/hyperlink" Target="https://www.instagram.com/p/DXt9tlACQRU/" TargetMode="External"/><Relationship Id="rId27" Type="http://schemas.openxmlformats.org/officeDocument/2006/relationships/hyperlink" Target="https://www.instagram.com/p/DWCUovAkecc/" TargetMode="External"/><Relationship Id="rId69" Type="http://schemas.openxmlformats.org/officeDocument/2006/relationships/hyperlink" Target="https://www.instagram.com/p/DW4iDiPDzKJ/" TargetMode="External"/><Relationship Id="rId134" Type="http://schemas.openxmlformats.org/officeDocument/2006/relationships/hyperlink" Target="https://www.instagram.com/p/DXE-rWwkcxz/" TargetMode="External"/><Relationship Id="rId80" Type="http://schemas.openxmlformats.org/officeDocument/2006/relationships/hyperlink" Target="https://www.instagram.com/p/DW4iDiPDzKJ/" TargetMode="External"/><Relationship Id="rId176" Type="http://schemas.openxmlformats.org/officeDocument/2006/relationships/hyperlink" Target="https://www.instagram.com/p/DXXUplAjxAB/" TargetMode="External"/><Relationship Id="rId341" Type="http://schemas.openxmlformats.org/officeDocument/2006/relationships/hyperlink" Target="https://www.instagram.com/p/DW1UZeTE99V/" TargetMode="External"/><Relationship Id="rId383" Type="http://schemas.openxmlformats.org/officeDocument/2006/relationships/hyperlink" Target="https://www.instagram.com/p/Dd7QI2Hpwrh/" TargetMode="External"/><Relationship Id="rId439" Type="http://schemas.openxmlformats.org/officeDocument/2006/relationships/hyperlink" Target="https://www.instagram.com/p/Dd7H5WuI1P4/" TargetMode="External"/><Relationship Id="rId201" Type="http://schemas.openxmlformats.org/officeDocument/2006/relationships/hyperlink" Target="https://www.instagram.com/p/DYPfSG5EtlC/" TargetMode="External"/><Relationship Id="rId243" Type="http://schemas.openxmlformats.org/officeDocument/2006/relationships/hyperlink" Target="https://www.instagram.com/p/DcOWyNuo1de/" TargetMode="External"/><Relationship Id="rId285" Type="http://schemas.openxmlformats.org/officeDocument/2006/relationships/hyperlink" Target="https://www.instagram.com/p/DZIFrRXAPDD/" TargetMode="External"/><Relationship Id="rId450" Type="http://schemas.openxmlformats.org/officeDocument/2006/relationships/hyperlink" Target="https://www.instagram.com/p/DdoUtz5x_w7/" TargetMode="External"/><Relationship Id="rId38" Type="http://schemas.openxmlformats.org/officeDocument/2006/relationships/hyperlink" Target="https://www.instagram.com/p/CoauaFMIR_H/" TargetMode="External"/><Relationship Id="rId103" Type="http://schemas.openxmlformats.org/officeDocument/2006/relationships/hyperlink" Target="https://www.instagram.com/p/DafyszsDQoU/" TargetMode="External"/><Relationship Id="rId310" Type="http://schemas.openxmlformats.org/officeDocument/2006/relationships/hyperlink" Target="https://www.instagram.com/p/DdEbu5KDkLr/" TargetMode="External"/><Relationship Id="rId91" Type="http://schemas.openxmlformats.org/officeDocument/2006/relationships/hyperlink" Target="https://www.instagram.com/p/DdB9bmdkjLV/" TargetMode="External"/><Relationship Id="rId145" Type="http://schemas.openxmlformats.org/officeDocument/2006/relationships/hyperlink" Target="https://www.instagram.com/p/DZvB8WyAcSQ/" TargetMode="External"/><Relationship Id="rId187" Type="http://schemas.openxmlformats.org/officeDocument/2006/relationships/hyperlink" Target="https://www.instagram.com/p/DWHSbY0gPkZ/" TargetMode="External"/><Relationship Id="rId352" Type="http://schemas.openxmlformats.org/officeDocument/2006/relationships/hyperlink" Target="https://www.instagram.com/p/DV8qzI-Fjug/" TargetMode="External"/><Relationship Id="rId394" Type="http://schemas.openxmlformats.org/officeDocument/2006/relationships/hyperlink" Target="https://www.instagram.com/p/DeOxVQGFooP/" TargetMode="External"/><Relationship Id="rId408" Type="http://schemas.openxmlformats.org/officeDocument/2006/relationships/hyperlink" Target="https://www.instagram.com/p/DdcGv3LppNt/" TargetMode="External"/><Relationship Id="rId212" Type="http://schemas.openxmlformats.org/officeDocument/2006/relationships/hyperlink" Target="https://www.instagram.com/p/DYPfSG5EtlC/" TargetMode="External"/><Relationship Id="rId254" Type="http://schemas.openxmlformats.org/officeDocument/2006/relationships/hyperlink" Target="https://www.instagram.com/p/Ddbm28IjYqM/" TargetMode="External"/><Relationship Id="rId49" Type="http://schemas.openxmlformats.org/officeDocument/2006/relationships/hyperlink" Target="https://www.instagram.com/p/Dc64J90ja5Z/" TargetMode="External"/><Relationship Id="rId114" Type="http://schemas.openxmlformats.org/officeDocument/2006/relationships/hyperlink" Target="https://www.instagram.com/p/Da2ssYrFAbw/" TargetMode="External"/><Relationship Id="rId296" Type="http://schemas.openxmlformats.org/officeDocument/2006/relationships/hyperlink" Target="https://www.instagram.com/p/DWl3k5bDdGr/" TargetMode="External"/><Relationship Id="rId461" Type="http://schemas.openxmlformats.org/officeDocument/2006/relationships/hyperlink" Target="https://www.instagram.com/p/DeSMEKWTpEc/" TargetMode="External"/><Relationship Id="rId60" Type="http://schemas.openxmlformats.org/officeDocument/2006/relationships/hyperlink" Target="https://www.instagram.com/p/DdHHPnmj6nA/" TargetMode="External"/><Relationship Id="rId156" Type="http://schemas.openxmlformats.org/officeDocument/2006/relationships/hyperlink" Target="https://www.instagram.com/p/DbDvAkLETWc/" TargetMode="External"/><Relationship Id="rId198" Type="http://schemas.openxmlformats.org/officeDocument/2006/relationships/hyperlink" Target="https://www.instagram.com/p/DWHSbY0gPkZ/" TargetMode="External"/><Relationship Id="rId321" Type="http://schemas.openxmlformats.org/officeDocument/2006/relationships/hyperlink" Target="https://www.instagram.com/p/DchVBgQBPYm/" TargetMode="External"/><Relationship Id="rId363" Type="http://schemas.openxmlformats.org/officeDocument/2006/relationships/hyperlink" Target="https://www.instagram.com/p/DdUXxspJ2Ip/" TargetMode="External"/><Relationship Id="rId419" Type="http://schemas.openxmlformats.org/officeDocument/2006/relationships/hyperlink" Target="https://www.instagram.com/p/DdFAmyHpX-l/" TargetMode="External"/><Relationship Id="rId223" Type="http://schemas.openxmlformats.org/officeDocument/2006/relationships/hyperlink" Target="https://www.instagram.com/p/DbLZ7objjlt/" TargetMode="External"/><Relationship Id="rId430" Type="http://schemas.openxmlformats.org/officeDocument/2006/relationships/hyperlink" Target="https://www.instagram.com/p/DeS5fh7ib_J/" TargetMode="External"/><Relationship Id="rId18" Type="http://schemas.openxmlformats.org/officeDocument/2006/relationships/hyperlink" Target="https://www.instagram.com/p/DaGcrTEKQjm/" TargetMode="External"/><Relationship Id="rId265" Type="http://schemas.openxmlformats.org/officeDocument/2006/relationships/hyperlink" Target="https://www.instagram.com/p/DXt9tlACQRU/" TargetMode="External"/><Relationship Id="rId472" Type="http://schemas.openxmlformats.org/officeDocument/2006/relationships/hyperlink" Target="https://www.instagram.com/p/Dd6m541RoZL/" TargetMode="External"/><Relationship Id="rId125" Type="http://schemas.openxmlformats.org/officeDocument/2006/relationships/hyperlink" Target="https://www.instagram.com/p/DXE-rWwkcxz/" TargetMode="External"/><Relationship Id="rId167" Type="http://schemas.openxmlformats.org/officeDocument/2006/relationships/hyperlink" Target="https://www.instagram.com/p/DaAyUuClN8S/" TargetMode="External"/><Relationship Id="rId332" Type="http://schemas.openxmlformats.org/officeDocument/2006/relationships/hyperlink" Target="https://www.instagram.com/p/DdB21LljFZE/" TargetMode="External"/><Relationship Id="rId374" Type="http://schemas.openxmlformats.org/officeDocument/2006/relationships/hyperlink" Target="https://www.instagram.com/p/Dd7QI2Hpwrh/" TargetMode="External"/><Relationship Id="rId71" Type="http://schemas.openxmlformats.org/officeDocument/2006/relationships/hyperlink" Target="https://www.instagram.com/p/DW4iDiPDzKJ/" TargetMode="External"/><Relationship Id="rId234" Type="http://schemas.openxmlformats.org/officeDocument/2006/relationships/hyperlink" Target="https://www.instagram.com/p/DcOWyNuo1de/" TargetMode="External"/><Relationship Id="rId2" Type="http://schemas.openxmlformats.org/officeDocument/2006/relationships/hyperlink" Target="https://www.instagram.com/p/DZV0RIzlj_W/" TargetMode="External"/><Relationship Id="rId29" Type="http://schemas.openxmlformats.org/officeDocument/2006/relationships/hyperlink" Target="https://www.instagram.com/p/Ddj8E6dR8TI/" TargetMode="External"/><Relationship Id="rId276" Type="http://schemas.openxmlformats.org/officeDocument/2006/relationships/hyperlink" Target="https://www.instagram.com/p/DXt9tlACQRU/" TargetMode="External"/><Relationship Id="rId441" Type="http://schemas.openxmlformats.org/officeDocument/2006/relationships/hyperlink" Target="https://www.instagram.com/p/Dd7H5WuI1P4/" TargetMode="External"/><Relationship Id="rId40" Type="http://schemas.openxmlformats.org/officeDocument/2006/relationships/hyperlink" Target="https://www.instagram.com/p/CoauaFMIR_H/" TargetMode="External"/><Relationship Id="rId136" Type="http://schemas.openxmlformats.org/officeDocument/2006/relationships/hyperlink" Target="https://www.instagram.com/p/DXE-rWwkcxz/" TargetMode="External"/><Relationship Id="rId178" Type="http://schemas.openxmlformats.org/officeDocument/2006/relationships/hyperlink" Target="https://www.instagram.com/p/DXXUplAjxAB/" TargetMode="External"/><Relationship Id="rId301" Type="http://schemas.openxmlformats.org/officeDocument/2006/relationships/hyperlink" Target="https://www.instagram.com/p/DWl3k5bDdGr/" TargetMode="External"/><Relationship Id="rId343" Type="http://schemas.openxmlformats.org/officeDocument/2006/relationships/hyperlink" Target="https://www.instagram.com/p/DW1UZeTE99V/" TargetMode="External"/><Relationship Id="rId82" Type="http://schemas.openxmlformats.org/officeDocument/2006/relationships/hyperlink" Target="https://www.instagram.com/p/DdB9bmdkjLV/" TargetMode="External"/><Relationship Id="rId203" Type="http://schemas.openxmlformats.org/officeDocument/2006/relationships/hyperlink" Target="https://www.instagram.com/p/DYPfSG5EtlC/" TargetMode="External"/><Relationship Id="rId385" Type="http://schemas.openxmlformats.org/officeDocument/2006/relationships/hyperlink" Target="https://www.instagram.com/p/Dd7QI2Hpwrh/" TargetMode="External"/><Relationship Id="rId19" Type="http://schemas.openxmlformats.org/officeDocument/2006/relationships/hyperlink" Target="https://www.instagram.com/p/DaGcrTEKQjm/" TargetMode="External"/><Relationship Id="rId224" Type="http://schemas.openxmlformats.org/officeDocument/2006/relationships/hyperlink" Target="https://www.instagram.com/p/DbLZ7objjlt/" TargetMode="External"/><Relationship Id="rId245" Type="http://schemas.openxmlformats.org/officeDocument/2006/relationships/hyperlink" Target="https://www.instagram.com/p/DcOWyNuo1de/" TargetMode="External"/><Relationship Id="rId266" Type="http://schemas.openxmlformats.org/officeDocument/2006/relationships/hyperlink" Target="https://www.instagram.com/p/DXt9tlACQRU/" TargetMode="External"/><Relationship Id="rId287" Type="http://schemas.openxmlformats.org/officeDocument/2006/relationships/hyperlink" Target="https://www.instagram.com/p/DZIFrRXAPDD/" TargetMode="External"/><Relationship Id="rId410" Type="http://schemas.openxmlformats.org/officeDocument/2006/relationships/hyperlink" Target="https://www.instagram.com/p/DdcGv3LppNt/" TargetMode="External"/><Relationship Id="rId431" Type="http://schemas.openxmlformats.org/officeDocument/2006/relationships/hyperlink" Target="https://www.instagram.com/p/DeS5fh7ib_J/" TargetMode="External"/><Relationship Id="rId452" Type="http://schemas.openxmlformats.org/officeDocument/2006/relationships/hyperlink" Target="https://www.instagram.com/p/DeMm9LoxQoU/" TargetMode="External"/><Relationship Id="rId30" Type="http://schemas.openxmlformats.org/officeDocument/2006/relationships/hyperlink" Target="https://www.instagram.com/p/Ddj8E6dR8TI/" TargetMode="External"/><Relationship Id="rId105" Type="http://schemas.openxmlformats.org/officeDocument/2006/relationships/hyperlink" Target="https://www.instagram.com/p/DafyszsDQoU/" TargetMode="External"/><Relationship Id="rId126" Type="http://schemas.openxmlformats.org/officeDocument/2006/relationships/hyperlink" Target="https://www.instagram.com/p/DXE-rWwkcxz/" TargetMode="External"/><Relationship Id="rId147" Type="http://schemas.openxmlformats.org/officeDocument/2006/relationships/hyperlink" Target="https://www.instagram.com/p/DZvB8WyAcSQ/" TargetMode="External"/><Relationship Id="rId168" Type="http://schemas.openxmlformats.org/officeDocument/2006/relationships/hyperlink" Target="https://www.instagram.com/p/DaAyUuClN8S/" TargetMode="External"/><Relationship Id="rId312" Type="http://schemas.openxmlformats.org/officeDocument/2006/relationships/hyperlink" Target="https://www.instagram.com/p/DdEbu5KDkLr/" TargetMode="External"/><Relationship Id="rId333" Type="http://schemas.openxmlformats.org/officeDocument/2006/relationships/hyperlink" Target="https://www.instagram.com/p/DdB21LljFZE/" TargetMode="External"/><Relationship Id="rId354" Type="http://schemas.openxmlformats.org/officeDocument/2006/relationships/hyperlink" Target="https://www.instagram.com/p/DdrDMCZlWFt/" TargetMode="External"/><Relationship Id="rId51" Type="http://schemas.openxmlformats.org/officeDocument/2006/relationships/hyperlink" Target="https://www.instagram.com/p/DW4vN0bDz6s/" TargetMode="External"/><Relationship Id="rId72" Type="http://schemas.openxmlformats.org/officeDocument/2006/relationships/hyperlink" Target="https://www.instagram.com/p/DW4iDiPDzKJ/" TargetMode="External"/><Relationship Id="rId93" Type="http://schemas.openxmlformats.org/officeDocument/2006/relationships/hyperlink" Target="https://www.instagram.com/p/DdB9bmdkjLV/" TargetMode="External"/><Relationship Id="rId189" Type="http://schemas.openxmlformats.org/officeDocument/2006/relationships/hyperlink" Target="https://www.instagram.com/p/DWHSbY0gPkZ/" TargetMode="External"/><Relationship Id="rId375" Type="http://schemas.openxmlformats.org/officeDocument/2006/relationships/hyperlink" Target="https://www.instagram.com/p/Dd7QI2Hpwrh/" TargetMode="External"/><Relationship Id="rId396" Type="http://schemas.openxmlformats.org/officeDocument/2006/relationships/hyperlink" Target="https://www.instagram.com/p/DeOxVQGFooP/" TargetMode="External"/><Relationship Id="rId3" Type="http://schemas.openxmlformats.org/officeDocument/2006/relationships/hyperlink" Target="https://www.instagram.com/p/DZV0RIzlj_W/" TargetMode="External"/><Relationship Id="rId214" Type="http://schemas.openxmlformats.org/officeDocument/2006/relationships/hyperlink" Target="https://www.instagram.com/p/DV_v43Vj9I8/" TargetMode="External"/><Relationship Id="rId235" Type="http://schemas.openxmlformats.org/officeDocument/2006/relationships/hyperlink" Target="https://www.instagram.com/p/DcOWyNuo1de/" TargetMode="External"/><Relationship Id="rId256" Type="http://schemas.openxmlformats.org/officeDocument/2006/relationships/hyperlink" Target="https://www.instagram.com/p/Ddbm28IjYqM/" TargetMode="External"/><Relationship Id="rId277" Type="http://schemas.openxmlformats.org/officeDocument/2006/relationships/hyperlink" Target="https://www.instagram.com/p/DXt9tlACQRU/" TargetMode="External"/><Relationship Id="rId298" Type="http://schemas.openxmlformats.org/officeDocument/2006/relationships/hyperlink" Target="https://www.instagram.com/p/DWl3k5bDdGr/" TargetMode="External"/><Relationship Id="rId400" Type="http://schemas.openxmlformats.org/officeDocument/2006/relationships/hyperlink" Target="https://www.instagram.com/p/DeOxVQGFooP/" TargetMode="External"/><Relationship Id="rId421" Type="http://schemas.openxmlformats.org/officeDocument/2006/relationships/hyperlink" Target="https://www.instagram.com/p/DdFAmyHpX-l/" TargetMode="External"/><Relationship Id="rId442" Type="http://schemas.openxmlformats.org/officeDocument/2006/relationships/hyperlink" Target="https://www.instagram.com/p/Dd7H5WuI1P4/" TargetMode="External"/><Relationship Id="rId463" Type="http://schemas.openxmlformats.org/officeDocument/2006/relationships/hyperlink" Target="https://www.instagram.com/p/Ddt-noRuhxE/" TargetMode="External"/><Relationship Id="rId116" Type="http://schemas.openxmlformats.org/officeDocument/2006/relationships/hyperlink" Target="https://www.instagram.com/p/Da2ssYrFAbw/" TargetMode="External"/><Relationship Id="rId137" Type="http://schemas.openxmlformats.org/officeDocument/2006/relationships/hyperlink" Target="https://www.instagram.com/p/DXE-rWwkcxz/" TargetMode="External"/><Relationship Id="rId158" Type="http://schemas.openxmlformats.org/officeDocument/2006/relationships/hyperlink" Target="https://www.instagram.com/p/DbDvAkLETWc/" TargetMode="External"/><Relationship Id="rId302" Type="http://schemas.openxmlformats.org/officeDocument/2006/relationships/hyperlink" Target="https://www.instagram.com/p/DdFkb2MxhNl/" TargetMode="External"/><Relationship Id="rId323" Type="http://schemas.openxmlformats.org/officeDocument/2006/relationships/hyperlink" Target="https://www.instagram.com/p/DWPemtkEqIm/" TargetMode="External"/><Relationship Id="rId344" Type="http://schemas.openxmlformats.org/officeDocument/2006/relationships/hyperlink" Target="https://www.instagram.com/p/DW1UZeTE99V/" TargetMode="External"/><Relationship Id="rId20" Type="http://schemas.openxmlformats.org/officeDocument/2006/relationships/hyperlink" Target="https://www.instagram.com/p/DaGcrTEKQjm/" TargetMode="External"/><Relationship Id="rId41" Type="http://schemas.openxmlformats.org/officeDocument/2006/relationships/hyperlink" Target="https://www.instagram.com/p/CoauaFMIR_H/" TargetMode="External"/><Relationship Id="rId62" Type="http://schemas.openxmlformats.org/officeDocument/2006/relationships/hyperlink" Target="https://www.instagram.com/p/DdHHPnmj6nA/" TargetMode="External"/><Relationship Id="rId83" Type="http://schemas.openxmlformats.org/officeDocument/2006/relationships/hyperlink" Target="https://www.instagram.com/p/DdB9bmdkjLV/" TargetMode="External"/><Relationship Id="rId179" Type="http://schemas.openxmlformats.org/officeDocument/2006/relationships/hyperlink" Target="https://www.instagram.com/p/DXXUplAjxAB/" TargetMode="External"/><Relationship Id="rId365" Type="http://schemas.openxmlformats.org/officeDocument/2006/relationships/hyperlink" Target="https://www.instagram.com/p/DdUXxspJ2Ip/" TargetMode="External"/><Relationship Id="rId386" Type="http://schemas.openxmlformats.org/officeDocument/2006/relationships/hyperlink" Target="https://www.instagram.com/p/Dd7QI2Hpwrh/" TargetMode="External"/><Relationship Id="rId190" Type="http://schemas.openxmlformats.org/officeDocument/2006/relationships/hyperlink" Target="https://www.instagram.com/p/DWHSbY0gPkZ/" TargetMode="External"/><Relationship Id="rId204" Type="http://schemas.openxmlformats.org/officeDocument/2006/relationships/hyperlink" Target="https://www.instagram.com/p/DYPfSG5EtlC/" TargetMode="External"/><Relationship Id="rId225" Type="http://schemas.openxmlformats.org/officeDocument/2006/relationships/hyperlink" Target="https://www.instagram.com/p/DbLZ7objjlt/" TargetMode="External"/><Relationship Id="rId246" Type="http://schemas.openxmlformats.org/officeDocument/2006/relationships/hyperlink" Target="https://www.instagram.com/p/DcOWyNuo1de/" TargetMode="External"/><Relationship Id="rId267" Type="http://schemas.openxmlformats.org/officeDocument/2006/relationships/hyperlink" Target="https://www.instagram.com/p/DXt9tlACQRU/" TargetMode="External"/><Relationship Id="rId288" Type="http://schemas.openxmlformats.org/officeDocument/2006/relationships/hyperlink" Target="https://www.instagram.com/p/DZIFrRXAPDD/" TargetMode="External"/><Relationship Id="rId411" Type="http://schemas.openxmlformats.org/officeDocument/2006/relationships/hyperlink" Target="https://www.instagram.com/p/DdcGv3LppNt/" TargetMode="External"/><Relationship Id="rId432" Type="http://schemas.openxmlformats.org/officeDocument/2006/relationships/hyperlink" Target="https://www.instagram.com/p/DeS5fh7ib_J/" TargetMode="External"/><Relationship Id="rId453" Type="http://schemas.openxmlformats.org/officeDocument/2006/relationships/hyperlink" Target="https://www.instagram.com/p/DeMm9LoxQoU/" TargetMode="External"/><Relationship Id="rId106" Type="http://schemas.openxmlformats.org/officeDocument/2006/relationships/hyperlink" Target="https://www.instagram.com/p/DafyszsDQoU/" TargetMode="External"/><Relationship Id="rId127" Type="http://schemas.openxmlformats.org/officeDocument/2006/relationships/hyperlink" Target="https://www.instagram.com/p/DXE-rWwkcxz/" TargetMode="External"/><Relationship Id="rId313" Type="http://schemas.openxmlformats.org/officeDocument/2006/relationships/hyperlink" Target="https://www.instagram.com/p/DdEbu5KDkLr/" TargetMode="External"/><Relationship Id="rId10" Type="http://schemas.openxmlformats.org/officeDocument/2006/relationships/hyperlink" Target="https://www.instagram.com/p/DZ0m6tMiQSl/" TargetMode="External"/><Relationship Id="rId31" Type="http://schemas.openxmlformats.org/officeDocument/2006/relationships/hyperlink" Target="https://www.instagram.com/p/Ddj8E6dR8TI/" TargetMode="External"/><Relationship Id="rId52" Type="http://schemas.openxmlformats.org/officeDocument/2006/relationships/hyperlink" Target="https://www.instagram.com/p/DdHHPnmj6nA/" TargetMode="External"/><Relationship Id="rId73" Type="http://schemas.openxmlformats.org/officeDocument/2006/relationships/hyperlink" Target="https://www.instagram.com/p/DW4iDiPDzKJ/" TargetMode="External"/><Relationship Id="rId94" Type="http://schemas.openxmlformats.org/officeDocument/2006/relationships/hyperlink" Target="https://www.instagram.com/p/DdB9bmdkjLV/" TargetMode="External"/><Relationship Id="rId148" Type="http://schemas.openxmlformats.org/officeDocument/2006/relationships/hyperlink" Target="https://www.instagram.com/p/DZvB8WyAcSQ/" TargetMode="External"/><Relationship Id="rId169" Type="http://schemas.openxmlformats.org/officeDocument/2006/relationships/hyperlink" Target="https://www.instagram.com/p/DaAyUuClN8S/" TargetMode="External"/><Relationship Id="rId334" Type="http://schemas.openxmlformats.org/officeDocument/2006/relationships/hyperlink" Target="https://www.instagram.com/p/DXcLrPak7SL/" TargetMode="External"/><Relationship Id="rId355" Type="http://schemas.openxmlformats.org/officeDocument/2006/relationships/hyperlink" Target="https://www.instagram.com/p/DdrDMCZlWFt/" TargetMode="External"/><Relationship Id="rId376" Type="http://schemas.openxmlformats.org/officeDocument/2006/relationships/hyperlink" Target="https://www.instagram.com/p/Dd7QI2Hpwrh/" TargetMode="External"/><Relationship Id="rId397" Type="http://schemas.openxmlformats.org/officeDocument/2006/relationships/hyperlink" Target="https://www.instagram.com/p/DeOxVQGFooP/" TargetMode="External"/><Relationship Id="rId4" Type="http://schemas.openxmlformats.org/officeDocument/2006/relationships/hyperlink" Target="https://www.instagram.com/p/DZV0RIzlj_W/" TargetMode="External"/><Relationship Id="rId180" Type="http://schemas.openxmlformats.org/officeDocument/2006/relationships/hyperlink" Target="https://www.instagram.com/p/DXXUplAjxAB/" TargetMode="External"/><Relationship Id="rId215" Type="http://schemas.openxmlformats.org/officeDocument/2006/relationships/hyperlink" Target="https://www.instagram.com/p/DV_v43Vj9I8/" TargetMode="External"/><Relationship Id="rId236" Type="http://schemas.openxmlformats.org/officeDocument/2006/relationships/hyperlink" Target="https://www.instagram.com/p/DcOWyNuo1de/" TargetMode="External"/><Relationship Id="rId257" Type="http://schemas.openxmlformats.org/officeDocument/2006/relationships/hyperlink" Target="https://www.instagram.com/p/Ddbm28IjYqM/" TargetMode="External"/><Relationship Id="rId278" Type="http://schemas.openxmlformats.org/officeDocument/2006/relationships/hyperlink" Target="https://www.instagram.com/p/DZIFrRXAPDD/" TargetMode="External"/><Relationship Id="rId401" Type="http://schemas.openxmlformats.org/officeDocument/2006/relationships/hyperlink" Target="https://www.instagram.com/p/DeOxVQGFooP/" TargetMode="External"/><Relationship Id="rId422" Type="http://schemas.openxmlformats.org/officeDocument/2006/relationships/hyperlink" Target="https://www.instagram.com/p/DdFAmyHpX-l/" TargetMode="External"/><Relationship Id="rId443" Type="http://schemas.openxmlformats.org/officeDocument/2006/relationships/hyperlink" Target="https://www.instagram.com/p/Dd7H5WuI1P4/" TargetMode="External"/><Relationship Id="rId464" Type="http://schemas.openxmlformats.org/officeDocument/2006/relationships/hyperlink" Target="https://www.instagram.com/p/Ddt-noRuhxE/" TargetMode="External"/><Relationship Id="rId303" Type="http://schemas.openxmlformats.org/officeDocument/2006/relationships/hyperlink" Target="https://www.instagram.com/p/DdFkb2MxhNl/" TargetMode="External"/><Relationship Id="rId42" Type="http://schemas.openxmlformats.org/officeDocument/2006/relationships/hyperlink" Target="https://www.instagram.com/p/CoauaFMIR_H/" TargetMode="External"/><Relationship Id="rId84" Type="http://schemas.openxmlformats.org/officeDocument/2006/relationships/hyperlink" Target="https://www.instagram.com/p/DdB9bmdkjLV/" TargetMode="External"/><Relationship Id="rId138" Type="http://schemas.openxmlformats.org/officeDocument/2006/relationships/hyperlink" Target="https://www.instagram.com/p/DZvB8WyAcSQ/" TargetMode="External"/><Relationship Id="rId345" Type="http://schemas.openxmlformats.org/officeDocument/2006/relationships/hyperlink" Target="https://www.instagram.com/p/DW1UZeTE99V/" TargetMode="External"/><Relationship Id="rId387" Type="http://schemas.openxmlformats.org/officeDocument/2006/relationships/hyperlink" Target="https://www.instagram.com/p/Dd7QI2Hpwrh/" TargetMode="External"/><Relationship Id="rId191" Type="http://schemas.openxmlformats.org/officeDocument/2006/relationships/hyperlink" Target="https://www.instagram.com/p/DWHSbY0gPkZ/" TargetMode="External"/><Relationship Id="rId205" Type="http://schemas.openxmlformats.org/officeDocument/2006/relationships/hyperlink" Target="https://www.instagram.com/p/DYPfSG5EtlC/" TargetMode="External"/><Relationship Id="rId247" Type="http://schemas.openxmlformats.org/officeDocument/2006/relationships/hyperlink" Target="https://www.instagram.com/p/DcOWyNuo1de/" TargetMode="External"/><Relationship Id="rId412" Type="http://schemas.openxmlformats.org/officeDocument/2006/relationships/hyperlink" Target="https://www.instagram.com/p/DdcGv3LppNt/" TargetMode="External"/><Relationship Id="rId107" Type="http://schemas.openxmlformats.org/officeDocument/2006/relationships/hyperlink" Target="https://www.instagram.com/p/DafyszsDQoU/" TargetMode="External"/><Relationship Id="rId289" Type="http://schemas.openxmlformats.org/officeDocument/2006/relationships/hyperlink" Target="https://www.instagram.com/p/DZIFrRXAPDD/" TargetMode="External"/><Relationship Id="rId454" Type="http://schemas.openxmlformats.org/officeDocument/2006/relationships/hyperlink" Target="https://www.instagram.com/p/DeMm9LoxQoU/" TargetMode="External"/><Relationship Id="rId11" Type="http://schemas.openxmlformats.org/officeDocument/2006/relationships/hyperlink" Target="https://www.instagram.com/p/DZ0m6tMiQSl/" TargetMode="External"/><Relationship Id="rId53" Type="http://schemas.openxmlformats.org/officeDocument/2006/relationships/hyperlink" Target="https://www.instagram.com/p/DdHHPnmj6nA/" TargetMode="External"/><Relationship Id="rId149" Type="http://schemas.openxmlformats.org/officeDocument/2006/relationships/hyperlink" Target="https://www.instagram.com/p/DZvB8WyAcSQ/" TargetMode="External"/><Relationship Id="rId314" Type="http://schemas.openxmlformats.org/officeDocument/2006/relationships/hyperlink" Target="https://www.instagram.com/p/DdEbu5KDkLr/" TargetMode="External"/><Relationship Id="rId356" Type="http://schemas.openxmlformats.org/officeDocument/2006/relationships/hyperlink" Target="https://www.instagram.com/p/DdrDMCZlWFt/" TargetMode="External"/><Relationship Id="rId398" Type="http://schemas.openxmlformats.org/officeDocument/2006/relationships/hyperlink" Target="https://www.instagram.com/p/DeOxVQGFooP/" TargetMode="External"/><Relationship Id="rId95" Type="http://schemas.openxmlformats.org/officeDocument/2006/relationships/hyperlink" Target="https://www.instagram.com/p/DdB9bmdkjLV/" TargetMode="External"/><Relationship Id="rId160" Type="http://schemas.openxmlformats.org/officeDocument/2006/relationships/hyperlink" Target="https://www.instagram.com/p/DbDvAkLETWc/" TargetMode="External"/><Relationship Id="rId216" Type="http://schemas.openxmlformats.org/officeDocument/2006/relationships/hyperlink" Target="https://www.instagram.com/p/DV_v43Vj9I8/" TargetMode="External"/><Relationship Id="rId423" Type="http://schemas.openxmlformats.org/officeDocument/2006/relationships/hyperlink" Target="https://www.instagram.com/p/DdFAmyHpX-l/" TargetMode="External"/><Relationship Id="rId258" Type="http://schemas.openxmlformats.org/officeDocument/2006/relationships/hyperlink" Target="https://www.instagram.com/p/Ddbm28IjYqM/" TargetMode="External"/><Relationship Id="rId465" Type="http://schemas.openxmlformats.org/officeDocument/2006/relationships/hyperlink" Target="https://www.instagram.com/p/DeHL5cwxF13/" TargetMode="External"/><Relationship Id="rId22" Type="http://schemas.openxmlformats.org/officeDocument/2006/relationships/hyperlink" Target="https://www.instagram.com/p/DZ_A9FXCdNn/" TargetMode="External"/><Relationship Id="rId64" Type="http://schemas.openxmlformats.org/officeDocument/2006/relationships/hyperlink" Target="https://www.instagram.com/p/DdHHPnmj6nA/" TargetMode="External"/><Relationship Id="rId118" Type="http://schemas.openxmlformats.org/officeDocument/2006/relationships/hyperlink" Target="https://www.instagram.com/p/Da2ssYrFAbw/" TargetMode="External"/><Relationship Id="rId325" Type="http://schemas.openxmlformats.org/officeDocument/2006/relationships/hyperlink" Target="https://www.instagram.com/p/DWPemtkEqIm/" TargetMode="External"/><Relationship Id="rId367" Type="http://schemas.openxmlformats.org/officeDocument/2006/relationships/hyperlink" Target="https://www.instagram.com/p/DdUXxspJ2Ip/" TargetMode="External"/><Relationship Id="rId171" Type="http://schemas.openxmlformats.org/officeDocument/2006/relationships/hyperlink" Target="https://www.instagram.com/p/DaAyUuClN8S/" TargetMode="External"/><Relationship Id="rId227" Type="http://schemas.openxmlformats.org/officeDocument/2006/relationships/hyperlink" Target="https://www.instagram.com/p/DbLZ7objjlt/" TargetMode="External"/><Relationship Id="rId269" Type="http://schemas.openxmlformats.org/officeDocument/2006/relationships/hyperlink" Target="https://www.instagram.com/p/DXt9tlACQRU/" TargetMode="External"/><Relationship Id="rId434" Type="http://schemas.openxmlformats.org/officeDocument/2006/relationships/hyperlink" Target="https://www.instagram.com/p/DeS5fh7ib_J/" TargetMode="External"/><Relationship Id="rId33" Type="http://schemas.openxmlformats.org/officeDocument/2006/relationships/hyperlink" Target="https://www.instagram.com/p/DZvkLu6CT76/" TargetMode="External"/><Relationship Id="rId129" Type="http://schemas.openxmlformats.org/officeDocument/2006/relationships/hyperlink" Target="https://www.instagram.com/p/DXE-rWwkcxz/" TargetMode="External"/><Relationship Id="rId280" Type="http://schemas.openxmlformats.org/officeDocument/2006/relationships/hyperlink" Target="https://www.instagram.com/p/DZIFrRXAPDD/" TargetMode="External"/><Relationship Id="rId336" Type="http://schemas.openxmlformats.org/officeDocument/2006/relationships/hyperlink" Target="https://www.instagram.com/p/DXcLrPak7SL/" TargetMode="External"/><Relationship Id="rId75" Type="http://schemas.openxmlformats.org/officeDocument/2006/relationships/hyperlink" Target="https://www.instagram.com/p/DW4iDiPDzKJ/" TargetMode="External"/><Relationship Id="rId140" Type="http://schemas.openxmlformats.org/officeDocument/2006/relationships/hyperlink" Target="https://www.instagram.com/p/DZvB8WyAcSQ/" TargetMode="External"/><Relationship Id="rId182" Type="http://schemas.openxmlformats.org/officeDocument/2006/relationships/hyperlink" Target="https://www.instagram.com/p/DXXUplAjxAB/" TargetMode="External"/><Relationship Id="rId378" Type="http://schemas.openxmlformats.org/officeDocument/2006/relationships/hyperlink" Target="https://www.instagram.com/p/Dd7QI2Hpwrh/" TargetMode="External"/><Relationship Id="rId403" Type="http://schemas.openxmlformats.org/officeDocument/2006/relationships/hyperlink" Target="https://www.instagram.com/p/DeOxVQGFooP/" TargetMode="External"/><Relationship Id="rId6" Type="http://schemas.openxmlformats.org/officeDocument/2006/relationships/hyperlink" Target="https://www.instagram.com/p/Db34m0zRF6y/" TargetMode="External"/><Relationship Id="rId238" Type="http://schemas.openxmlformats.org/officeDocument/2006/relationships/hyperlink" Target="https://www.instagram.com/p/DcOWyNuo1de/" TargetMode="External"/><Relationship Id="rId445" Type="http://schemas.openxmlformats.org/officeDocument/2006/relationships/hyperlink" Target="https://www.instagram.com/p/Dd7H5WuI1P4/" TargetMode="External"/><Relationship Id="rId291" Type="http://schemas.openxmlformats.org/officeDocument/2006/relationships/hyperlink" Target="https://www.instagram.com/p/DZIFrRXAPDD/" TargetMode="External"/><Relationship Id="rId305" Type="http://schemas.openxmlformats.org/officeDocument/2006/relationships/hyperlink" Target="https://www.instagram.com/p/DdFkb2MxhNl/" TargetMode="External"/><Relationship Id="rId347" Type="http://schemas.openxmlformats.org/officeDocument/2006/relationships/hyperlink" Target="https://www.instagram.com/p/DV8qzI-Fjug/" TargetMode="External"/><Relationship Id="rId44" Type="http://schemas.openxmlformats.org/officeDocument/2006/relationships/hyperlink" Target="https://www.instagram.com/p/DeFjQmjgVtF/" TargetMode="External"/><Relationship Id="rId86" Type="http://schemas.openxmlformats.org/officeDocument/2006/relationships/hyperlink" Target="https://www.instagram.com/p/DdB9bmdkjLV/" TargetMode="External"/><Relationship Id="rId151" Type="http://schemas.openxmlformats.org/officeDocument/2006/relationships/hyperlink" Target="https://www.instagram.com/p/DbDvAkLETWc/" TargetMode="External"/><Relationship Id="rId389" Type="http://schemas.openxmlformats.org/officeDocument/2006/relationships/hyperlink" Target="https://www.instagram.com/p/DeOxVQGFooP/" TargetMode="External"/><Relationship Id="rId193" Type="http://schemas.openxmlformats.org/officeDocument/2006/relationships/hyperlink" Target="https://www.instagram.com/p/DWHSbY0gPkZ/" TargetMode="External"/><Relationship Id="rId207" Type="http://schemas.openxmlformats.org/officeDocument/2006/relationships/hyperlink" Target="https://www.instagram.com/p/DYPfSG5EtlC/" TargetMode="External"/><Relationship Id="rId249" Type="http://schemas.openxmlformats.org/officeDocument/2006/relationships/hyperlink" Target="https://www.instagram.com/p/Ddbm28IjYqM/" TargetMode="External"/><Relationship Id="rId414" Type="http://schemas.openxmlformats.org/officeDocument/2006/relationships/hyperlink" Target="https://www.instagram.com/p/DdcGv3LppNt/" TargetMode="External"/><Relationship Id="rId456" Type="http://schemas.openxmlformats.org/officeDocument/2006/relationships/hyperlink" Target="https://www.instagram.com/p/DeMm9LoxQoU/" TargetMode="External"/><Relationship Id="rId13" Type="http://schemas.openxmlformats.org/officeDocument/2006/relationships/hyperlink" Target="https://www.instagram.com/p/DZgHdwTFulq/" TargetMode="External"/><Relationship Id="rId109" Type="http://schemas.openxmlformats.org/officeDocument/2006/relationships/hyperlink" Target="https://www.instagram.com/p/DafyszsDQoU/" TargetMode="External"/><Relationship Id="rId260" Type="http://schemas.openxmlformats.org/officeDocument/2006/relationships/hyperlink" Target="https://www.instagram.com/p/Ddbm28IjYqM/" TargetMode="External"/><Relationship Id="rId316" Type="http://schemas.openxmlformats.org/officeDocument/2006/relationships/hyperlink" Target="https://www.instagram.com/p/DdEbu5KDkLr/" TargetMode="External"/><Relationship Id="rId55" Type="http://schemas.openxmlformats.org/officeDocument/2006/relationships/hyperlink" Target="https://www.instagram.com/p/DdHHPnmj6nA/" TargetMode="External"/><Relationship Id="rId97" Type="http://schemas.openxmlformats.org/officeDocument/2006/relationships/hyperlink" Target="https://www.instagram.com/p/DafyszsDQoU/" TargetMode="External"/><Relationship Id="rId120" Type="http://schemas.openxmlformats.org/officeDocument/2006/relationships/hyperlink" Target="https://www.instagram.com/p/Da2ssYrFAbw/" TargetMode="External"/><Relationship Id="rId358" Type="http://schemas.openxmlformats.org/officeDocument/2006/relationships/hyperlink" Target="https://www.instagram.com/p/DdrDMCZlWFt/" TargetMode="External"/><Relationship Id="rId162" Type="http://schemas.openxmlformats.org/officeDocument/2006/relationships/hyperlink" Target="https://www.instagram.com/p/DaAyUuClN8S/" TargetMode="External"/><Relationship Id="rId218" Type="http://schemas.openxmlformats.org/officeDocument/2006/relationships/hyperlink" Target="https://www.instagram.com/p/DV_v43Vj9I8/" TargetMode="External"/><Relationship Id="rId425" Type="http://schemas.openxmlformats.org/officeDocument/2006/relationships/hyperlink" Target="https://www.instagram.com/p/DeS5fh7ib_J/" TargetMode="External"/><Relationship Id="rId467" Type="http://schemas.openxmlformats.org/officeDocument/2006/relationships/hyperlink" Target="https://www.instagram.com/p/DeHL5cwxF13/" TargetMode="External"/><Relationship Id="rId271" Type="http://schemas.openxmlformats.org/officeDocument/2006/relationships/hyperlink" Target="https://www.instagram.com/p/DXt9tlACQRU/" TargetMode="External"/><Relationship Id="rId24" Type="http://schemas.openxmlformats.org/officeDocument/2006/relationships/hyperlink" Target="https://www.instagram.com/p/DZ_A9FXCdNn/" TargetMode="External"/><Relationship Id="rId66" Type="http://schemas.openxmlformats.org/officeDocument/2006/relationships/hyperlink" Target="https://www.instagram.com/p/DdHHPnmj6nA/" TargetMode="External"/><Relationship Id="rId131" Type="http://schemas.openxmlformats.org/officeDocument/2006/relationships/hyperlink" Target="https://www.instagram.com/p/DXE-rWwkcxz/" TargetMode="External"/><Relationship Id="rId327" Type="http://schemas.openxmlformats.org/officeDocument/2006/relationships/hyperlink" Target="https://www.instagram.com/p/DWPemtkEqIm/" TargetMode="External"/><Relationship Id="rId369" Type="http://schemas.openxmlformats.org/officeDocument/2006/relationships/hyperlink" Target="https://www.instagram.com/p/DdUXxspJ2Ip/" TargetMode="External"/><Relationship Id="rId173" Type="http://schemas.openxmlformats.org/officeDocument/2006/relationships/hyperlink" Target="https://www.instagram.com/p/DXXUplAjxAB/" TargetMode="External"/><Relationship Id="rId229" Type="http://schemas.openxmlformats.org/officeDocument/2006/relationships/hyperlink" Target="https://www.instagram.com/p/DbLZ7objjlt/" TargetMode="External"/><Relationship Id="rId380" Type="http://schemas.openxmlformats.org/officeDocument/2006/relationships/hyperlink" Target="https://www.instagram.com/p/Dd7QI2Hpwrh/" TargetMode="External"/><Relationship Id="rId436" Type="http://schemas.openxmlformats.org/officeDocument/2006/relationships/hyperlink" Target="https://www.instagram.com/p/Dd9Snh7xSjX/" TargetMode="External"/><Relationship Id="rId240" Type="http://schemas.openxmlformats.org/officeDocument/2006/relationships/hyperlink" Target="https://www.instagram.com/p/DcOWyNuo1de/" TargetMode="External"/><Relationship Id="rId35" Type="http://schemas.openxmlformats.org/officeDocument/2006/relationships/hyperlink" Target="https://www.instagram.com/p/DZa92hCFsAJ/" TargetMode="External"/><Relationship Id="rId77" Type="http://schemas.openxmlformats.org/officeDocument/2006/relationships/hyperlink" Target="https://www.instagram.com/p/DW4iDiPDzKJ/" TargetMode="External"/><Relationship Id="rId100" Type="http://schemas.openxmlformats.org/officeDocument/2006/relationships/hyperlink" Target="https://www.instagram.com/p/DafyszsDQoU/" TargetMode="External"/><Relationship Id="rId282" Type="http://schemas.openxmlformats.org/officeDocument/2006/relationships/hyperlink" Target="https://www.instagram.com/p/DZIFrRXAPDD/" TargetMode="External"/><Relationship Id="rId338" Type="http://schemas.openxmlformats.org/officeDocument/2006/relationships/hyperlink" Target="https://www.instagram.com/p/DW1UZeTE99V/" TargetMode="External"/><Relationship Id="rId8" Type="http://schemas.openxmlformats.org/officeDocument/2006/relationships/hyperlink" Target="https://www.instagram.com/p/Db34m0zRF6y/" TargetMode="External"/><Relationship Id="rId142" Type="http://schemas.openxmlformats.org/officeDocument/2006/relationships/hyperlink" Target="https://www.instagram.com/p/DZvB8WyAcSQ/" TargetMode="External"/><Relationship Id="rId184" Type="http://schemas.openxmlformats.org/officeDocument/2006/relationships/hyperlink" Target="https://www.instagram.com/p/DXXUplAjxAB/" TargetMode="External"/><Relationship Id="rId391" Type="http://schemas.openxmlformats.org/officeDocument/2006/relationships/hyperlink" Target="https://www.instagram.com/p/DeOxVQGFooP/" TargetMode="External"/><Relationship Id="rId405" Type="http://schemas.openxmlformats.org/officeDocument/2006/relationships/hyperlink" Target="https://www.instagram.com/p/DdcGv3LppNt/" TargetMode="External"/><Relationship Id="rId447" Type="http://schemas.openxmlformats.org/officeDocument/2006/relationships/hyperlink" Target="https://www.instagram.com/p/DdoUtz5x_w7/" TargetMode="External"/><Relationship Id="rId251" Type="http://schemas.openxmlformats.org/officeDocument/2006/relationships/hyperlink" Target="https://www.instagram.com/p/Ddbm28IjYqM/" TargetMode="External"/><Relationship Id="rId46" Type="http://schemas.openxmlformats.org/officeDocument/2006/relationships/hyperlink" Target="https://www.instagram.com/p/DXAeNVaky3E/" TargetMode="External"/><Relationship Id="rId293" Type="http://schemas.openxmlformats.org/officeDocument/2006/relationships/hyperlink" Target="https://www.instagram.com/p/DWl3k5bDdGr/" TargetMode="External"/><Relationship Id="rId307" Type="http://schemas.openxmlformats.org/officeDocument/2006/relationships/hyperlink" Target="https://www.instagram.com/p/DdFkb2MxhNl/" TargetMode="External"/><Relationship Id="rId349" Type="http://schemas.openxmlformats.org/officeDocument/2006/relationships/hyperlink" Target="https://www.instagram.com/p/DV8qzI-Fjug/" TargetMode="External"/><Relationship Id="rId88" Type="http://schemas.openxmlformats.org/officeDocument/2006/relationships/hyperlink" Target="https://www.instagram.com/p/DdB9bmdkjLV/" TargetMode="External"/><Relationship Id="rId111" Type="http://schemas.openxmlformats.org/officeDocument/2006/relationships/hyperlink" Target="https://www.instagram.com/p/DafyszsDQoU/" TargetMode="External"/><Relationship Id="rId153" Type="http://schemas.openxmlformats.org/officeDocument/2006/relationships/hyperlink" Target="https://www.instagram.com/p/DbDvAkLETWc/" TargetMode="External"/><Relationship Id="rId195" Type="http://schemas.openxmlformats.org/officeDocument/2006/relationships/hyperlink" Target="https://www.instagram.com/p/DWHSbY0gPkZ/" TargetMode="External"/><Relationship Id="rId209" Type="http://schemas.openxmlformats.org/officeDocument/2006/relationships/hyperlink" Target="https://www.instagram.com/p/DYPfSG5EtlC/" TargetMode="External"/><Relationship Id="rId360" Type="http://schemas.openxmlformats.org/officeDocument/2006/relationships/hyperlink" Target="https://www.instagram.com/p/DdUXxspJ2Ip/" TargetMode="External"/><Relationship Id="rId416" Type="http://schemas.openxmlformats.org/officeDocument/2006/relationships/hyperlink" Target="https://www.instagram.com/p/DdcGv3LppNt/" TargetMode="External"/><Relationship Id="rId220" Type="http://schemas.openxmlformats.org/officeDocument/2006/relationships/hyperlink" Target="https://www.instagram.com/p/DV_v43Vj9I8/" TargetMode="External"/><Relationship Id="rId458" Type="http://schemas.openxmlformats.org/officeDocument/2006/relationships/hyperlink" Target="https://www.instagram.com/p/DeSMEKWTpEc/" TargetMode="External"/><Relationship Id="rId15" Type="http://schemas.openxmlformats.org/officeDocument/2006/relationships/hyperlink" Target="https://www.instagram.com/p/DZgHdwTFulq/" TargetMode="External"/><Relationship Id="rId57" Type="http://schemas.openxmlformats.org/officeDocument/2006/relationships/hyperlink" Target="https://www.instagram.com/p/DdHHPnmj6nA/" TargetMode="External"/><Relationship Id="rId262" Type="http://schemas.openxmlformats.org/officeDocument/2006/relationships/hyperlink" Target="https://www.instagram.com/p/Ddbm28IjYqM/" TargetMode="External"/><Relationship Id="rId318" Type="http://schemas.openxmlformats.org/officeDocument/2006/relationships/hyperlink" Target="https://www.instagram.com/p/DchVBgQBPYm/" TargetMode="External"/><Relationship Id="rId99" Type="http://schemas.openxmlformats.org/officeDocument/2006/relationships/hyperlink" Target="https://www.instagram.com/p/DafyszsDQoU/" TargetMode="External"/><Relationship Id="rId122" Type="http://schemas.openxmlformats.org/officeDocument/2006/relationships/hyperlink" Target="https://www.instagram.com/p/Da2ssYrFAbw/" TargetMode="External"/><Relationship Id="rId164" Type="http://schemas.openxmlformats.org/officeDocument/2006/relationships/hyperlink" Target="https://www.instagram.com/p/DaAyUuClN8S/" TargetMode="External"/><Relationship Id="rId371" Type="http://schemas.openxmlformats.org/officeDocument/2006/relationships/hyperlink" Target="https://www.instagram.com/p/DdUXxspJ2Ip/" TargetMode="External"/><Relationship Id="rId427" Type="http://schemas.openxmlformats.org/officeDocument/2006/relationships/hyperlink" Target="https://www.instagram.com/p/DeS5fh7ib_J/" TargetMode="External"/><Relationship Id="rId469" Type="http://schemas.openxmlformats.org/officeDocument/2006/relationships/hyperlink" Target="https://www.instagram.com/p/DeHL5cwxF13/" TargetMode="External"/><Relationship Id="rId26" Type="http://schemas.openxmlformats.org/officeDocument/2006/relationships/hyperlink" Target="https://www.instagram.com/p/DWCUovAkecc/" TargetMode="External"/><Relationship Id="rId231" Type="http://schemas.openxmlformats.org/officeDocument/2006/relationships/hyperlink" Target="https://www.instagram.com/p/DbLZ7objjlt/" TargetMode="External"/><Relationship Id="rId273" Type="http://schemas.openxmlformats.org/officeDocument/2006/relationships/hyperlink" Target="https://www.instagram.com/p/DXt9tlACQRU/" TargetMode="External"/><Relationship Id="rId329" Type="http://schemas.openxmlformats.org/officeDocument/2006/relationships/hyperlink" Target="https://www.instagram.com/p/DdB21LljFZE/" TargetMode="External"/><Relationship Id="rId68" Type="http://schemas.openxmlformats.org/officeDocument/2006/relationships/hyperlink" Target="https://www.instagram.com/p/DW4iDiPDzKJ/" TargetMode="External"/><Relationship Id="rId133" Type="http://schemas.openxmlformats.org/officeDocument/2006/relationships/hyperlink" Target="https://www.instagram.com/p/DXE-rWwkcxz/" TargetMode="External"/><Relationship Id="rId175" Type="http://schemas.openxmlformats.org/officeDocument/2006/relationships/hyperlink" Target="https://www.instagram.com/p/DXXUplAjxAB/" TargetMode="External"/><Relationship Id="rId340" Type="http://schemas.openxmlformats.org/officeDocument/2006/relationships/hyperlink" Target="https://www.instagram.com/p/DW1UZeTE99V/" TargetMode="External"/><Relationship Id="rId200" Type="http://schemas.openxmlformats.org/officeDocument/2006/relationships/hyperlink" Target="https://www.instagram.com/p/DWHSbY0gPkZ/" TargetMode="External"/><Relationship Id="rId382" Type="http://schemas.openxmlformats.org/officeDocument/2006/relationships/hyperlink" Target="https://www.instagram.com/p/Dd7QI2Hpwrh/" TargetMode="External"/><Relationship Id="rId438" Type="http://schemas.openxmlformats.org/officeDocument/2006/relationships/hyperlink" Target="https://www.instagram.com/p/Dd7H5WuI1P4/" TargetMode="External"/><Relationship Id="rId242" Type="http://schemas.openxmlformats.org/officeDocument/2006/relationships/hyperlink" Target="https://www.instagram.com/p/DcOWyNuo1de/" TargetMode="External"/><Relationship Id="rId284" Type="http://schemas.openxmlformats.org/officeDocument/2006/relationships/hyperlink" Target="https://www.instagram.com/p/DZIFrRXAPDD/" TargetMode="External"/><Relationship Id="rId37" Type="http://schemas.openxmlformats.org/officeDocument/2006/relationships/hyperlink" Target="https://www.instagram.com/p/CoauaFMIR_H/" TargetMode="External"/><Relationship Id="rId79" Type="http://schemas.openxmlformats.org/officeDocument/2006/relationships/hyperlink" Target="https://www.instagram.com/p/DW4iDiPDzKJ/" TargetMode="External"/><Relationship Id="rId102" Type="http://schemas.openxmlformats.org/officeDocument/2006/relationships/hyperlink" Target="https://www.instagram.com/p/DafyszsDQoU/" TargetMode="External"/><Relationship Id="rId144" Type="http://schemas.openxmlformats.org/officeDocument/2006/relationships/hyperlink" Target="https://www.instagram.com/p/DZvB8WyAcSQ/" TargetMode="External"/><Relationship Id="rId90" Type="http://schemas.openxmlformats.org/officeDocument/2006/relationships/hyperlink" Target="https://www.instagram.com/p/DdB9bmdkjLV/" TargetMode="External"/><Relationship Id="rId186" Type="http://schemas.openxmlformats.org/officeDocument/2006/relationships/hyperlink" Target="https://www.instagram.com/p/DWHSbY0gPkZ/" TargetMode="External"/><Relationship Id="rId351" Type="http://schemas.openxmlformats.org/officeDocument/2006/relationships/hyperlink" Target="https://www.instagram.com/p/DV8qzI-Fjug/" TargetMode="External"/><Relationship Id="rId393" Type="http://schemas.openxmlformats.org/officeDocument/2006/relationships/hyperlink" Target="https://www.instagram.com/p/DeOxVQGFooP/" TargetMode="External"/><Relationship Id="rId407" Type="http://schemas.openxmlformats.org/officeDocument/2006/relationships/hyperlink" Target="https://www.instagram.com/p/DdcGv3LppNt/" TargetMode="External"/><Relationship Id="rId449" Type="http://schemas.openxmlformats.org/officeDocument/2006/relationships/hyperlink" Target="https://www.instagram.com/p/DdoUtz5x_w7/" TargetMode="External"/><Relationship Id="rId211" Type="http://schemas.openxmlformats.org/officeDocument/2006/relationships/hyperlink" Target="https://www.instagram.com/p/DYPfSG5EtlC/" TargetMode="External"/><Relationship Id="rId253" Type="http://schemas.openxmlformats.org/officeDocument/2006/relationships/hyperlink" Target="https://www.instagram.com/p/Ddbm28IjYqM/" TargetMode="External"/><Relationship Id="rId295" Type="http://schemas.openxmlformats.org/officeDocument/2006/relationships/hyperlink" Target="https://www.instagram.com/p/DWl3k5bDdGr/" TargetMode="External"/><Relationship Id="rId309" Type="http://schemas.openxmlformats.org/officeDocument/2006/relationships/hyperlink" Target="https://www.instagram.com/p/DdEbu5KDkLr/" TargetMode="External"/><Relationship Id="rId460" Type="http://schemas.openxmlformats.org/officeDocument/2006/relationships/hyperlink" Target="https://www.instagram.com/p/DeSMEKWTpEc/" TargetMode="External"/><Relationship Id="rId48" Type="http://schemas.openxmlformats.org/officeDocument/2006/relationships/hyperlink" Target="https://www.instagram.com/p/DdrzUImDB9O/" TargetMode="External"/><Relationship Id="rId113" Type="http://schemas.openxmlformats.org/officeDocument/2006/relationships/hyperlink" Target="https://www.instagram.com/p/Da2ssYrFAbw/" TargetMode="External"/><Relationship Id="rId320" Type="http://schemas.openxmlformats.org/officeDocument/2006/relationships/hyperlink" Target="https://www.instagram.com/p/DchVBgQBPYm/" TargetMode="External"/><Relationship Id="rId155" Type="http://schemas.openxmlformats.org/officeDocument/2006/relationships/hyperlink" Target="https://www.instagram.com/p/DbDvAkLETWc/" TargetMode="External"/><Relationship Id="rId197" Type="http://schemas.openxmlformats.org/officeDocument/2006/relationships/hyperlink" Target="https://www.instagram.com/p/DWHSbY0gPkZ/" TargetMode="External"/><Relationship Id="rId362" Type="http://schemas.openxmlformats.org/officeDocument/2006/relationships/hyperlink" Target="https://www.instagram.com/p/DdUXxspJ2Ip/" TargetMode="External"/><Relationship Id="rId418" Type="http://schemas.openxmlformats.org/officeDocument/2006/relationships/hyperlink" Target="https://www.instagram.com/p/DdcGv3LppNt/" TargetMode="External"/><Relationship Id="rId222" Type="http://schemas.openxmlformats.org/officeDocument/2006/relationships/hyperlink" Target="https://www.instagram.com/p/DV_v43Vj9I8/" TargetMode="External"/><Relationship Id="rId264" Type="http://schemas.openxmlformats.org/officeDocument/2006/relationships/hyperlink" Target="https://www.instagram.com/p/DXt9tlACQRU/" TargetMode="External"/><Relationship Id="rId471" Type="http://schemas.openxmlformats.org/officeDocument/2006/relationships/hyperlink" Target="https://www.instagram.com/p/Dd6m541RoZL/" TargetMode="External"/><Relationship Id="rId17" Type="http://schemas.openxmlformats.org/officeDocument/2006/relationships/hyperlink" Target="https://www.instagram.com/p/DaGcrTEKQjm/" TargetMode="External"/><Relationship Id="rId59" Type="http://schemas.openxmlformats.org/officeDocument/2006/relationships/hyperlink" Target="https://www.instagram.com/p/DdHHPnmj6nA/" TargetMode="External"/><Relationship Id="rId124" Type="http://schemas.openxmlformats.org/officeDocument/2006/relationships/hyperlink" Target="https://www.instagram.com/p/DXE-rWwkcxz/" TargetMode="External"/><Relationship Id="rId70" Type="http://schemas.openxmlformats.org/officeDocument/2006/relationships/hyperlink" Target="https://www.instagram.com/p/DW4iDiPDzKJ/" TargetMode="External"/><Relationship Id="rId166" Type="http://schemas.openxmlformats.org/officeDocument/2006/relationships/hyperlink" Target="https://www.instagram.com/p/DaAyUuClN8S/" TargetMode="External"/><Relationship Id="rId331" Type="http://schemas.openxmlformats.org/officeDocument/2006/relationships/hyperlink" Target="https://www.instagram.com/p/DdB21LljFZE/" TargetMode="External"/><Relationship Id="rId373" Type="http://schemas.openxmlformats.org/officeDocument/2006/relationships/hyperlink" Target="https://www.instagram.com/p/DdUXxspJ2Ip/" TargetMode="External"/><Relationship Id="rId429" Type="http://schemas.openxmlformats.org/officeDocument/2006/relationships/hyperlink" Target="https://www.instagram.com/p/DeS5fh7ib_J/" TargetMode="External"/><Relationship Id="rId1" Type="http://schemas.openxmlformats.org/officeDocument/2006/relationships/hyperlink" Target="https://www.instagram.com/p/DZV0RIzlj_W/" TargetMode="External"/><Relationship Id="rId233" Type="http://schemas.openxmlformats.org/officeDocument/2006/relationships/hyperlink" Target="https://www.instagram.com/p/DbLZ7objjlt/" TargetMode="External"/><Relationship Id="rId440" Type="http://schemas.openxmlformats.org/officeDocument/2006/relationships/hyperlink" Target="https://www.instagram.com/p/Dd7H5WuI1P4/" TargetMode="External"/><Relationship Id="rId28" Type="http://schemas.openxmlformats.org/officeDocument/2006/relationships/hyperlink" Target="https://www.instagram.com/p/DWCUovAkecc/" TargetMode="External"/><Relationship Id="rId275" Type="http://schemas.openxmlformats.org/officeDocument/2006/relationships/hyperlink" Target="https://www.instagram.com/p/DXt9tlACQRU/" TargetMode="External"/><Relationship Id="rId300" Type="http://schemas.openxmlformats.org/officeDocument/2006/relationships/hyperlink" Target="https://www.instagram.com/p/DWl3k5bDdGr/" TargetMode="External"/><Relationship Id="rId81" Type="http://schemas.openxmlformats.org/officeDocument/2006/relationships/hyperlink" Target="https://www.instagram.com/p/DW4iDiPDzKJ/" TargetMode="External"/><Relationship Id="rId135" Type="http://schemas.openxmlformats.org/officeDocument/2006/relationships/hyperlink" Target="https://www.instagram.com/p/DXE-rWwkcxz/" TargetMode="External"/><Relationship Id="rId177" Type="http://schemas.openxmlformats.org/officeDocument/2006/relationships/hyperlink" Target="https://www.instagram.com/p/DXXUplAjxAB/" TargetMode="External"/><Relationship Id="rId342" Type="http://schemas.openxmlformats.org/officeDocument/2006/relationships/hyperlink" Target="https://www.instagram.com/p/DW1UZeTE99V/" TargetMode="External"/><Relationship Id="rId384" Type="http://schemas.openxmlformats.org/officeDocument/2006/relationships/hyperlink" Target="https://www.instagram.com/p/Dd7QI2Hpwrh/" TargetMode="External"/><Relationship Id="rId202" Type="http://schemas.openxmlformats.org/officeDocument/2006/relationships/hyperlink" Target="https://www.instagram.com/p/DYPfSG5EtlC/" TargetMode="External"/><Relationship Id="rId244" Type="http://schemas.openxmlformats.org/officeDocument/2006/relationships/hyperlink" Target="https://www.instagram.com/p/DcOWyNuo1de/" TargetMode="External"/><Relationship Id="rId39" Type="http://schemas.openxmlformats.org/officeDocument/2006/relationships/hyperlink" Target="https://www.instagram.com/p/CoauaFMIR_H/" TargetMode="External"/><Relationship Id="rId286" Type="http://schemas.openxmlformats.org/officeDocument/2006/relationships/hyperlink" Target="https://www.instagram.com/p/DZIFrRXAPDD/" TargetMode="External"/><Relationship Id="rId451" Type="http://schemas.openxmlformats.org/officeDocument/2006/relationships/hyperlink" Target="https://www.instagram.com/p/DdoUtz5x_w7/" TargetMode="External"/><Relationship Id="rId50" Type="http://schemas.openxmlformats.org/officeDocument/2006/relationships/hyperlink" Target="https://www.instagram.com/p/Dcwk9_bFb-d/" TargetMode="External"/><Relationship Id="rId104" Type="http://schemas.openxmlformats.org/officeDocument/2006/relationships/hyperlink" Target="https://www.instagram.com/p/DafyszsDQoU/" TargetMode="External"/><Relationship Id="rId146" Type="http://schemas.openxmlformats.org/officeDocument/2006/relationships/hyperlink" Target="https://www.instagram.com/p/DZvB8WyAcSQ/" TargetMode="External"/><Relationship Id="rId188" Type="http://schemas.openxmlformats.org/officeDocument/2006/relationships/hyperlink" Target="https://www.instagram.com/p/DWHSbY0gPkZ/" TargetMode="External"/><Relationship Id="rId311" Type="http://schemas.openxmlformats.org/officeDocument/2006/relationships/hyperlink" Target="https://www.instagram.com/p/DdEbu5KDkLr/" TargetMode="External"/><Relationship Id="rId353" Type="http://schemas.openxmlformats.org/officeDocument/2006/relationships/hyperlink" Target="https://www.instagram.com/p/DV8qzI-Fjug/" TargetMode="External"/><Relationship Id="rId395" Type="http://schemas.openxmlformats.org/officeDocument/2006/relationships/hyperlink" Target="https://www.instagram.com/p/DeOxVQGFooP/" TargetMode="External"/><Relationship Id="rId409" Type="http://schemas.openxmlformats.org/officeDocument/2006/relationships/hyperlink" Target="https://www.instagram.com/p/DdcGv3LppNt/" TargetMode="External"/><Relationship Id="rId92" Type="http://schemas.openxmlformats.org/officeDocument/2006/relationships/hyperlink" Target="https://www.instagram.com/p/DdB9bmdkjLV/" TargetMode="External"/><Relationship Id="rId213" Type="http://schemas.openxmlformats.org/officeDocument/2006/relationships/hyperlink" Target="https://www.instagram.com/p/DYPfSG5EtlC/" TargetMode="External"/><Relationship Id="rId420" Type="http://schemas.openxmlformats.org/officeDocument/2006/relationships/hyperlink" Target="https://www.instagram.com/p/DdFAmyHpX-l/" TargetMode="External"/><Relationship Id="rId255" Type="http://schemas.openxmlformats.org/officeDocument/2006/relationships/hyperlink" Target="https://www.instagram.com/p/Ddbm28IjYqM/" TargetMode="External"/><Relationship Id="rId297" Type="http://schemas.openxmlformats.org/officeDocument/2006/relationships/hyperlink" Target="https://www.instagram.com/p/DWl3k5bDdGr/" TargetMode="External"/><Relationship Id="rId462" Type="http://schemas.openxmlformats.org/officeDocument/2006/relationships/hyperlink" Target="https://www.instagram.com/p/Ddt-noRuhxE/" TargetMode="External"/><Relationship Id="rId115" Type="http://schemas.openxmlformats.org/officeDocument/2006/relationships/hyperlink" Target="https://www.instagram.com/p/Da2ssYrFAbw/" TargetMode="External"/><Relationship Id="rId157" Type="http://schemas.openxmlformats.org/officeDocument/2006/relationships/hyperlink" Target="https://www.instagram.com/p/DbDvAkLETWc/" TargetMode="External"/><Relationship Id="rId322" Type="http://schemas.openxmlformats.org/officeDocument/2006/relationships/hyperlink" Target="https://www.instagram.com/p/DWPemtkEqIm/" TargetMode="External"/><Relationship Id="rId364" Type="http://schemas.openxmlformats.org/officeDocument/2006/relationships/hyperlink" Target="https://www.instagram.com/p/DdUXxspJ2Ip/" TargetMode="External"/><Relationship Id="rId61" Type="http://schemas.openxmlformats.org/officeDocument/2006/relationships/hyperlink" Target="https://www.instagram.com/p/DdHHPnmj6nA/" TargetMode="External"/><Relationship Id="rId199" Type="http://schemas.openxmlformats.org/officeDocument/2006/relationships/hyperlink" Target="https://www.instagram.com/p/DWHSbY0gP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24D"/>
  </sheetPr>
  <dimension ref="A1:B45"/>
  <sheetViews>
    <sheetView showGridLines="0" tabSelected="1" zoomScale="90" workbookViewId="0"/>
  </sheetViews>
  <sheetFormatPr defaultRowHeight="15" x14ac:dyDescent="0.25"/>
  <cols>
    <col min="1" max="1" width="26" customWidth="1"/>
    <col min="2" max="2" width="110" customWidth="1"/>
  </cols>
  <sheetData>
    <row r="1" spans="1:2" ht="26.1" customHeight="1" x14ac:dyDescent="0.3">
      <c r="A1" s="1" t="s">
        <v>0</v>
      </c>
    </row>
    <row r="2" spans="1:2" x14ac:dyDescent="0.25">
      <c r="A2" s="2" t="s">
        <v>1</v>
      </c>
    </row>
    <row r="4" spans="1:2" ht="20.100000000000001" customHeight="1" x14ac:dyDescent="0.25">
      <c r="A4" s="3" t="s">
        <v>2</v>
      </c>
      <c r="B4" s="4"/>
    </row>
    <row r="5" spans="1:2" ht="30" customHeight="1" x14ac:dyDescent="0.25">
      <c r="A5" s="5" t="s">
        <v>3</v>
      </c>
      <c r="B5" s="5" t="s">
        <v>4</v>
      </c>
    </row>
    <row r="6" spans="1:2" x14ac:dyDescent="0.25">
      <c r="A6" s="6" t="s">
        <v>5</v>
      </c>
      <c r="B6" s="7" t="s">
        <v>6</v>
      </c>
    </row>
    <row r="7" spans="1:2" x14ac:dyDescent="0.25">
      <c r="A7" s="6" t="s">
        <v>7</v>
      </c>
      <c r="B7" s="7" t="s">
        <v>8</v>
      </c>
    </row>
    <row r="8" spans="1:2" x14ac:dyDescent="0.25">
      <c r="A8" s="6" t="s">
        <v>9</v>
      </c>
      <c r="B8" s="7" t="s">
        <v>10</v>
      </c>
    </row>
    <row r="9" spans="1:2" x14ac:dyDescent="0.25">
      <c r="A9" s="6" t="s">
        <v>11</v>
      </c>
      <c r="B9" s="7" t="s">
        <v>12</v>
      </c>
    </row>
    <row r="10" spans="1:2" x14ac:dyDescent="0.25">
      <c r="A10" s="6" t="s">
        <v>13</v>
      </c>
      <c r="B10" s="7" t="s">
        <v>14</v>
      </c>
    </row>
    <row r="11" spans="1:2" x14ac:dyDescent="0.25">
      <c r="A11" s="6" t="s">
        <v>15</v>
      </c>
      <c r="B11" s="7" t="s">
        <v>16</v>
      </c>
    </row>
    <row r="12" spans="1:2" x14ac:dyDescent="0.25">
      <c r="A12" s="6" t="s">
        <v>17</v>
      </c>
      <c r="B12" s="7" t="s">
        <v>18</v>
      </c>
    </row>
    <row r="13" spans="1:2" x14ac:dyDescent="0.25">
      <c r="A13" s="6" t="s">
        <v>19</v>
      </c>
      <c r="B13" s="7" t="s">
        <v>20</v>
      </c>
    </row>
    <row r="14" spans="1:2" x14ac:dyDescent="0.25">
      <c r="A14" s="6" t="s">
        <v>21</v>
      </c>
      <c r="B14" s="7" t="s">
        <v>22</v>
      </c>
    </row>
    <row r="15" spans="1:2" x14ac:dyDescent="0.25">
      <c r="A15" s="6" t="s">
        <v>23</v>
      </c>
      <c r="B15" s="7" t="s">
        <v>24</v>
      </c>
    </row>
    <row r="16" spans="1:2" x14ac:dyDescent="0.25">
      <c r="A16" s="6" t="s">
        <v>25</v>
      </c>
      <c r="B16" s="7" t="s">
        <v>26</v>
      </c>
    </row>
    <row r="17" spans="1:2" x14ac:dyDescent="0.25">
      <c r="A17" s="6" t="s">
        <v>27</v>
      </c>
      <c r="B17" s="7" t="s">
        <v>28</v>
      </c>
    </row>
    <row r="18" spans="1:2" x14ac:dyDescent="0.25">
      <c r="A18" s="6" t="s">
        <v>29</v>
      </c>
      <c r="B18" s="7" t="s">
        <v>30</v>
      </c>
    </row>
    <row r="19" spans="1:2" x14ac:dyDescent="0.25">
      <c r="A19" s="6" t="s">
        <v>31</v>
      </c>
      <c r="B19" s="7" t="s">
        <v>32</v>
      </c>
    </row>
    <row r="20" spans="1:2" x14ac:dyDescent="0.25">
      <c r="A20" s="6" t="s">
        <v>33</v>
      </c>
      <c r="B20" s="7" t="s">
        <v>34</v>
      </c>
    </row>
    <row r="22" spans="1:2" ht="20.100000000000001" customHeight="1" x14ac:dyDescent="0.25">
      <c r="A22" s="3" t="s">
        <v>35</v>
      </c>
      <c r="B22" s="4"/>
    </row>
    <row r="23" spans="1:2" ht="30" customHeight="1" x14ac:dyDescent="0.25">
      <c r="A23" s="51" t="s">
        <v>36</v>
      </c>
      <c r="B23" s="52"/>
    </row>
    <row r="24" spans="1:2" ht="30" customHeight="1" x14ac:dyDescent="0.25">
      <c r="A24" s="51" t="s">
        <v>37</v>
      </c>
      <c r="B24" s="52"/>
    </row>
    <row r="25" spans="1:2" ht="30" customHeight="1" x14ac:dyDescent="0.25">
      <c r="A25" s="51" t="s">
        <v>38</v>
      </c>
      <c r="B25" s="52"/>
    </row>
    <row r="26" spans="1:2" ht="30" customHeight="1" x14ac:dyDescent="0.25">
      <c r="A26" s="51" t="s">
        <v>39</v>
      </c>
      <c r="B26" s="52"/>
    </row>
    <row r="27" spans="1:2" ht="30" customHeight="1" x14ac:dyDescent="0.25">
      <c r="A27" s="51" t="s">
        <v>40</v>
      </c>
      <c r="B27" s="52"/>
    </row>
    <row r="28" spans="1:2" ht="30" customHeight="1" x14ac:dyDescent="0.25">
      <c r="A28" s="51" t="s">
        <v>41</v>
      </c>
      <c r="B28" s="52"/>
    </row>
    <row r="29" spans="1:2" ht="30" customHeight="1" x14ac:dyDescent="0.25">
      <c r="A29" s="51" t="s">
        <v>42</v>
      </c>
      <c r="B29" s="52"/>
    </row>
    <row r="30" spans="1:2" ht="30" customHeight="1" x14ac:dyDescent="0.25">
      <c r="A30" s="51" t="s">
        <v>43</v>
      </c>
      <c r="B30" s="52"/>
    </row>
    <row r="32" spans="1:2" ht="20.100000000000001" customHeight="1" x14ac:dyDescent="0.25">
      <c r="A32" s="3" t="s">
        <v>44</v>
      </c>
      <c r="B32" s="4"/>
    </row>
    <row r="33" spans="1:2" ht="30" customHeight="1" x14ac:dyDescent="0.25">
      <c r="A33" s="5" t="s">
        <v>45</v>
      </c>
      <c r="B33" s="5" t="s">
        <v>46</v>
      </c>
    </row>
    <row r="34" spans="1:2" ht="51" x14ac:dyDescent="0.25">
      <c r="A34" s="7" t="s">
        <v>47</v>
      </c>
      <c r="B34" s="9" t="s">
        <v>48</v>
      </c>
    </row>
    <row r="35" spans="1:2" ht="38.25" x14ac:dyDescent="0.25">
      <c r="A35" s="7" t="s">
        <v>49</v>
      </c>
      <c r="B35" s="9" t="s">
        <v>50</v>
      </c>
    </row>
    <row r="36" spans="1:2" ht="51" x14ac:dyDescent="0.25">
      <c r="A36" s="7" t="s">
        <v>51</v>
      </c>
      <c r="B36" s="9" t="s">
        <v>52</v>
      </c>
    </row>
    <row r="37" spans="1:2" ht="51" x14ac:dyDescent="0.25">
      <c r="A37" s="7" t="s">
        <v>53</v>
      </c>
      <c r="B37" s="9" t="s">
        <v>54</v>
      </c>
    </row>
    <row r="38" spans="1:2" ht="51" x14ac:dyDescent="0.25">
      <c r="A38" s="7" t="s">
        <v>55</v>
      </c>
      <c r="B38" s="9" t="s">
        <v>56</v>
      </c>
    </row>
    <row r="39" spans="1:2" ht="25.5" x14ac:dyDescent="0.25">
      <c r="A39" s="7" t="s">
        <v>57</v>
      </c>
      <c r="B39" s="9" t="s">
        <v>58</v>
      </c>
    </row>
    <row r="40" spans="1:2" ht="25.5" x14ac:dyDescent="0.25">
      <c r="A40" s="7" t="s">
        <v>59</v>
      </c>
      <c r="B40" s="9" t="s">
        <v>60</v>
      </c>
    </row>
    <row r="41" spans="1:2" ht="51" x14ac:dyDescent="0.25">
      <c r="A41" s="7" t="s">
        <v>61</v>
      </c>
      <c r="B41" s="9" t="s">
        <v>62</v>
      </c>
    </row>
    <row r="43" spans="1:2" ht="20.100000000000001" customHeight="1" x14ac:dyDescent="0.25">
      <c r="A43" s="3" t="s">
        <v>63</v>
      </c>
      <c r="B43" s="4"/>
    </row>
    <row r="44" spans="1:2" x14ac:dyDescent="0.25">
      <c r="A44" s="7" t="s">
        <v>64</v>
      </c>
      <c r="B44" s="7" t="s">
        <v>65</v>
      </c>
    </row>
    <row r="45" spans="1:2" x14ac:dyDescent="0.25">
      <c r="A45" s="10" t="s">
        <v>66</v>
      </c>
      <c r="B45" s="7" t="s">
        <v>67</v>
      </c>
    </row>
  </sheetData>
  <mergeCells count="8">
    <mergeCell ref="A23:B23"/>
    <mergeCell ref="A27:B27"/>
    <mergeCell ref="A26:B26"/>
    <mergeCell ref="A24:B24"/>
    <mergeCell ref="A30:B30"/>
    <mergeCell ref="A29:B29"/>
    <mergeCell ref="A25:B25"/>
    <mergeCell ref="A28:B28"/>
  </mergeCells>
  <hyperlinks>
    <hyperlink ref="B34" r:id="rId1" xr:uid="{00000000-0004-0000-0000-000000000000}"/>
    <hyperlink ref="B35" r:id="rId2" xr:uid="{00000000-0004-0000-0000-000001000000}"/>
    <hyperlink ref="B36" r:id="rId3" xr:uid="{00000000-0004-0000-0000-000002000000}"/>
    <hyperlink ref="B37" r:id="rId4" xr:uid="{00000000-0004-0000-0000-000003000000}"/>
    <hyperlink ref="B38" r:id="rId5" xr:uid="{00000000-0004-0000-0000-000004000000}"/>
    <hyperlink ref="B39" r:id="rId6" xr:uid="{00000000-0004-0000-0000-000005000000}"/>
    <hyperlink ref="B40" r:id="rId7" xr:uid="{00000000-0004-0000-0000-000006000000}"/>
    <hyperlink ref="B41" r:id="rId8" xr:uid="{00000000-0004-0000-0000-000007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E8C99"/>
  </sheetPr>
  <dimension ref="A1:I90"/>
  <sheetViews>
    <sheetView showGridLines="0" zoomScale="90" workbookViewId="0">
      <pane ySplit="3" topLeftCell="A4" activePane="bottomLeft" state="frozen"/>
      <selection pane="bottomLeft"/>
    </sheetView>
  </sheetViews>
  <sheetFormatPr defaultRowHeight="15" x14ac:dyDescent="0.25"/>
  <cols>
    <col min="1" max="1" width="34" customWidth="1"/>
    <col min="2" max="8" width="15" customWidth="1"/>
    <col min="9" max="9" width="40" customWidth="1"/>
  </cols>
  <sheetData>
    <row r="1" spans="1:9" ht="26.1" customHeight="1" x14ac:dyDescent="0.3">
      <c r="A1" s="1" t="s">
        <v>68</v>
      </c>
    </row>
    <row r="2" spans="1:9" x14ac:dyDescent="0.25">
      <c r="A2" s="2" t="s">
        <v>69</v>
      </c>
    </row>
    <row r="4" spans="1:9" ht="20.100000000000001" customHeight="1" x14ac:dyDescent="0.25">
      <c r="A4" s="3" t="s">
        <v>70</v>
      </c>
      <c r="B4" s="4"/>
      <c r="C4" s="4"/>
      <c r="D4" s="4"/>
      <c r="E4" s="4"/>
      <c r="F4" s="4"/>
      <c r="G4" s="4"/>
      <c r="H4" s="4"/>
      <c r="I4" s="4"/>
    </row>
    <row r="5" spans="1:9" ht="30" customHeight="1" x14ac:dyDescent="0.25">
      <c r="A5" s="5" t="s">
        <v>71</v>
      </c>
      <c r="B5" s="5" t="s">
        <v>72</v>
      </c>
      <c r="C5" s="5" t="s">
        <v>73</v>
      </c>
    </row>
    <row r="6" spans="1:9" x14ac:dyDescent="0.25">
      <c r="A6" s="6" t="s">
        <v>74</v>
      </c>
      <c r="B6" s="11">
        <v>3957</v>
      </c>
      <c r="C6" s="53" t="s">
        <v>75</v>
      </c>
      <c r="D6" s="54"/>
      <c r="E6" s="54"/>
      <c r="F6" s="54"/>
      <c r="G6" s="54"/>
      <c r="H6" s="54"/>
      <c r="I6" s="55"/>
    </row>
    <row r="7" spans="1:9" x14ac:dyDescent="0.25">
      <c r="A7" s="6" t="s">
        <v>76</v>
      </c>
      <c r="B7" s="11">
        <v>7</v>
      </c>
      <c r="C7" s="53" t="s">
        <v>77</v>
      </c>
      <c r="D7" s="54"/>
      <c r="E7" s="54"/>
      <c r="F7" s="54"/>
      <c r="G7" s="54"/>
      <c r="H7" s="54"/>
      <c r="I7" s="55"/>
    </row>
    <row r="8" spans="1:9" x14ac:dyDescent="0.25">
      <c r="A8" s="6" t="s">
        <v>78</v>
      </c>
      <c r="B8" s="11">
        <v>1002</v>
      </c>
      <c r="C8" s="53" t="s">
        <v>77</v>
      </c>
      <c r="D8" s="54"/>
      <c r="E8" s="54"/>
      <c r="F8" s="54"/>
      <c r="G8" s="54"/>
      <c r="H8" s="54"/>
      <c r="I8" s="55"/>
    </row>
    <row r="9" spans="1:9" x14ac:dyDescent="0.25">
      <c r="A9" s="6" t="s">
        <v>79</v>
      </c>
      <c r="B9" s="12">
        <f>COUNTIF('Post Data'!$A:$A,"pt_city")</f>
        <v>108</v>
      </c>
      <c r="C9" s="53" t="s">
        <v>80</v>
      </c>
      <c r="D9" s="54"/>
      <c r="E9" s="54"/>
      <c r="F9" s="54"/>
      <c r="G9" s="54"/>
      <c r="H9" s="54"/>
      <c r="I9" s="55"/>
    </row>
    <row r="10" spans="1:9" x14ac:dyDescent="0.25">
      <c r="A10" s="6" t="s">
        <v>81</v>
      </c>
      <c r="B10" s="13">
        <v>3.3</v>
      </c>
      <c r="C10" s="53" t="s">
        <v>82</v>
      </c>
      <c r="D10" s="54"/>
      <c r="E10" s="54"/>
      <c r="F10" s="54"/>
      <c r="G10" s="54"/>
      <c r="H10" s="54"/>
      <c r="I10" s="55"/>
    </row>
    <row r="11" spans="1:9" x14ac:dyDescent="0.25">
      <c r="A11" s="6" t="s">
        <v>83</v>
      </c>
      <c r="B11" s="12">
        <f>AVERAGEIFS('Post Data'!$J:$J,'Post Data'!$A:$A,"pt_city")</f>
        <v>25.703703703703702</v>
      </c>
      <c r="C11" s="53"/>
      <c r="D11" s="54"/>
      <c r="E11" s="54"/>
      <c r="F11" s="54"/>
      <c r="G11" s="54"/>
      <c r="H11" s="54"/>
      <c r="I11" s="55"/>
    </row>
    <row r="12" spans="1:9" x14ac:dyDescent="0.25">
      <c r="A12" s="6" t="s">
        <v>84</v>
      </c>
      <c r="B12" s="14">
        <f>AVERAGEIFS('Post Data'!$K:$K,'Post Data'!$A:$A,"pt_city")</f>
        <v>1.9166666666666667</v>
      </c>
      <c r="C12" s="53"/>
      <c r="D12" s="54"/>
      <c r="E12" s="54"/>
      <c r="F12" s="54"/>
      <c r="G12" s="54"/>
      <c r="H12" s="54"/>
      <c r="I12" s="55"/>
    </row>
    <row r="13" spans="1:9" x14ac:dyDescent="0.25">
      <c r="A13" s="6" t="s">
        <v>85</v>
      </c>
      <c r="B13" s="15">
        <f>AVERAGEIFS('Post Data'!$N:$N,'Post Data'!$A:$A,"pt_city")</f>
        <v>6.9801289791181125E-3</v>
      </c>
      <c r="C13" s="53" t="s">
        <v>86</v>
      </c>
      <c r="D13" s="54"/>
      <c r="E13" s="54"/>
      <c r="F13" s="54"/>
      <c r="G13" s="54"/>
      <c r="H13" s="54"/>
      <c r="I13" s="55"/>
    </row>
    <row r="14" spans="1:9" x14ac:dyDescent="0.25">
      <c r="A14" s="6" t="s">
        <v>87</v>
      </c>
      <c r="B14" s="16">
        <v>4.6752590346221881E-3</v>
      </c>
      <c r="C14" s="53" t="s">
        <v>88</v>
      </c>
      <c r="D14" s="54"/>
      <c r="E14" s="54"/>
      <c r="F14" s="54"/>
      <c r="G14" s="54"/>
      <c r="H14" s="54"/>
      <c r="I14" s="55"/>
    </row>
    <row r="15" spans="1:9" x14ac:dyDescent="0.25">
      <c r="A15" s="6" t="s">
        <v>89</v>
      </c>
      <c r="B15" s="11">
        <v>2142</v>
      </c>
      <c r="C15" s="53" t="s">
        <v>90</v>
      </c>
      <c r="D15" s="54"/>
      <c r="E15" s="54"/>
      <c r="F15" s="54"/>
      <c r="G15" s="54"/>
      <c r="H15" s="54"/>
      <c r="I15" s="55"/>
    </row>
    <row r="16" spans="1:9" x14ac:dyDescent="0.25">
      <c r="A16" s="6" t="s">
        <v>91</v>
      </c>
      <c r="B16" s="12">
        <f>AVERAGEIFS('Post Data'!$L:$L,'Post Data'!$A:$A,"pt_city",'Post Data'!$G:$G,"Reel / video")</f>
        <v>7707.363636363636</v>
      </c>
      <c r="C16" s="53"/>
      <c r="D16" s="54"/>
      <c r="E16" s="54"/>
      <c r="F16" s="54"/>
      <c r="G16" s="54"/>
      <c r="H16" s="54"/>
      <c r="I16" s="55"/>
    </row>
    <row r="17" spans="1:9" x14ac:dyDescent="0.25">
      <c r="A17" s="6" t="s">
        <v>92</v>
      </c>
      <c r="B17" s="17">
        <v>0.54131918119787714</v>
      </c>
      <c r="C17" s="53" t="s">
        <v>93</v>
      </c>
      <c r="D17" s="54"/>
      <c r="E17" s="54"/>
      <c r="F17" s="54"/>
      <c r="G17" s="54"/>
      <c r="H17" s="54"/>
      <c r="I17" s="55"/>
    </row>
    <row r="18" spans="1:9" x14ac:dyDescent="0.25">
      <c r="A18" s="6" t="s">
        <v>94</v>
      </c>
      <c r="B18" s="13">
        <v>4.403502357053271</v>
      </c>
      <c r="C18" s="53" t="s">
        <v>95</v>
      </c>
      <c r="D18" s="54"/>
      <c r="E18" s="54"/>
      <c r="F18" s="54"/>
      <c r="G18" s="54"/>
      <c r="H18" s="54"/>
      <c r="I18" s="55"/>
    </row>
    <row r="19" spans="1:9" x14ac:dyDescent="0.25">
      <c r="A19" s="6" t="s">
        <v>96</v>
      </c>
      <c r="B19" s="18">
        <f>COUNTIFS('Comment Data'!$A:$A,"pt_city",'Comment Data'!$E:$E,"Yes")/COUNTIF('Comment Data'!$A:$A,"pt_city")</f>
        <v>0.3888888888888889</v>
      </c>
      <c r="C19" s="53" t="s">
        <v>97</v>
      </c>
      <c r="D19" s="54"/>
      <c r="E19" s="54"/>
      <c r="F19" s="54"/>
      <c r="G19" s="54"/>
      <c r="H19" s="54"/>
      <c r="I19" s="55"/>
    </row>
    <row r="21" spans="1:9" ht="20.100000000000001" customHeight="1" x14ac:dyDescent="0.25">
      <c r="A21" s="3" t="s">
        <v>98</v>
      </c>
      <c r="B21" s="4"/>
      <c r="C21" s="4"/>
      <c r="D21" s="4"/>
      <c r="E21" s="4"/>
      <c r="F21" s="4"/>
      <c r="G21" s="4"/>
      <c r="H21" s="4"/>
      <c r="I21" s="4"/>
    </row>
    <row r="22" spans="1:9" ht="30" customHeight="1" x14ac:dyDescent="0.25">
      <c r="A22" s="5" t="s">
        <v>99</v>
      </c>
      <c r="B22" s="5" t="s">
        <v>100</v>
      </c>
      <c r="C22" s="5" t="s">
        <v>101</v>
      </c>
      <c r="D22" s="5" t="s">
        <v>102</v>
      </c>
      <c r="E22" s="5" t="s">
        <v>103</v>
      </c>
      <c r="F22" s="5" t="s">
        <v>104</v>
      </c>
      <c r="G22" s="5" t="s">
        <v>105</v>
      </c>
      <c r="H22" s="5" t="s">
        <v>106</v>
      </c>
      <c r="I22" s="5" t="s">
        <v>107</v>
      </c>
    </row>
    <row r="23" spans="1:9" x14ac:dyDescent="0.25">
      <c r="A23" s="6" t="s">
        <v>108</v>
      </c>
      <c r="B23" s="12">
        <f>COUNTIFS('Post Data'!$A:$A,"pt_city",'Post Data'!$G:$G,"Reel / video")</f>
        <v>66</v>
      </c>
      <c r="C23" s="18">
        <f>B23/SUM($B$23:$B$25)</f>
        <v>0.61111111111111116</v>
      </c>
      <c r="D23" s="12">
        <f>IFERROR(AVERAGEIFS('Post Data'!$J:$J,'Post Data'!$A:$A,"pt_city",'Post Data'!$G:$G,"Reel / video"),0)</f>
        <v>33.939393939393938</v>
      </c>
      <c r="E23" s="14">
        <f>IFERROR(AVERAGEIFS('Post Data'!$K:$K,'Post Data'!$A:$A,"pt_city",'Post Data'!$G:$G,"Reel / video"),0)</f>
        <v>2.6515151515151514</v>
      </c>
      <c r="F23" s="15">
        <f>IFERROR(AVERAGEIFS('Post Data'!$N:$N,'Post Data'!$A:$A,"pt_city",'Post Data'!$G:$G,"Reel / video"),0)</f>
        <v>9.2471339628276694E-3</v>
      </c>
      <c r="G23" s="16">
        <v>6.5706343189284814E-3</v>
      </c>
      <c r="H23" s="19">
        <v>1.405405405405405</v>
      </c>
      <c r="I23" s="12">
        <f>IFERROR(AVERAGEIFS('Post Data'!$L:$L,'Post Data'!$A:$A,"pt_city",'Post Data'!$G:$G,"Reel / video"),0)</f>
        <v>7707.363636363636</v>
      </c>
    </row>
    <row r="24" spans="1:9" x14ac:dyDescent="0.25">
      <c r="A24" s="6" t="s">
        <v>109</v>
      </c>
      <c r="B24" s="12">
        <f>COUNTIFS('Post Data'!$A:$A,"pt_city",'Post Data'!$G:$G,"Carousel")</f>
        <v>6</v>
      </c>
      <c r="C24" s="18">
        <f>B24/SUM($B$23:$B$25)</f>
        <v>5.5555555555555552E-2</v>
      </c>
      <c r="D24" s="12">
        <f>IFERROR(AVERAGEIFS('Post Data'!$J:$J,'Post Data'!$A:$A,"pt_city",'Post Data'!$G:$G,"Carousel"),0)</f>
        <v>6.166666666666667</v>
      </c>
      <c r="E24" s="14">
        <f>IFERROR(AVERAGEIFS('Post Data'!$K:$K,'Post Data'!$A:$A,"pt_city",'Post Data'!$G:$G,"Carousel"),0)</f>
        <v>0.16666666666666666</v>
      </c>
      <c r="F24" s="15">
        <f>IFERROR(AVERAGEIFS('Post Data'!$N:$N,'Post Data'!$A:$A,"pt_city",'Post Data'!$G:$G,"Carousel"),0)</f>
        <v>1.6005391289697583E-3</v>
      </c>
      <c r="G24" s="16">
        <v>1.263583522870862E-3</v>
      </c>
      <c r="H24" s="19">
        <v>0.27027027027027029</v>
      </c>
      <c r="I24" s="12" t="s">
        <v>110</v>
      </c>
    </row>
    <row r="25" spans="1:9" x14ac:dyDescent="0.25">
      <c r="A25" s="6" t="s">
        <v>111</v>
      </c>
      <c r="B25" s="12">
        <f>COUNTIFS('Post Data'!$A:$A,"pt_city",'Post Data'!$G:$G,"Single image")</f>
        <v>36</v>
      </c>
      <c r="C25" s="18">
        <f>B25/SUM($B$23:$B$25)</f>
        <v>0.33333333333333331</v>
      </c>
      <c r="D25" s="12">
        <f>IFERROR(AVERAGEIFS('Post Data'!$J:$J,'Post Data'!$A:$A,"pt_city",'Post Data'!$G:$G,"Single image"),0)</f>
        <v>13.861111111111111</v>
      </c>
      <c r="E25" s="14">
        <f>IFERROR(AVERAGEIFS('Post Data'!$K:$K,'Post Data'!$A:$A,"pt_city",'Post Data'!$G:$G,"Single image"),0)</f>
        <v>0.86111111111111116</v>
      </c>
      <c r="F25" s="15">
        <f>IFERROR(AVERAGEIFS('Post Data'!$N:$N,'Post Data'!$A:$A,"pt_city",'Post Data'!$G:$G,"Single image"),0)</f>
        <v>3.7205514840086473E-3</v>
      </c>
      <c r="G25" s="16">
        <v>2.2744503411675512E-3</v>
      </c>
      <c r="H25" s="19">
        <v>0.48648648648648651</v>
      </c>
      <c r="I25" s="12" t="s">
        <v>110</v>
      </c>
    </row>
    <row r="27" spans="1:9" ht="20.100000000000001" customHeight="1" x14ac:dyDescent="0.25">
      <c r="A27" s="3" t="s">
        <v>112</v>
      </c>
      <c r="B27" s="4"/>
      <c r="C27" s="4"/>
      <c r="D27" s="4"/>
      <c r="E27" s="4"/>
      <c r="F27" s="4"/>
      <c r="G27" s="4"/>
      <c r="H27" s="4"/>
      <c r="I27" s="4"/>
    </row>
    <row r="28" spans="1:9" ht="30" customHeight="1" x14ac:dyDescent="0.25">
      <c r="A28" s="5" t="s">
        <v>113</v>
      </c>
      <c r="B28" s="5" t="s">
        <v>100</v>
      </c>
      <c r="C28" s="5" t="s">
        <v>101</v>
      </c>
      <c r="D28" s="5" t="s">
        <v>102</v>
      </c>
      <c r="E28" s="5" t="s">
        <v>103</v>
      </c>
      <c r="F28" s="5" t="s">
        <v>104</v>
      </c>
      <c r="G28" s="5" t="s">
        <v>105</v>
      </c>
      <c r="H28" s="5" t="s">
        <v>106</v>
      </c>
      <c r="I28" s="5"/>
    </row>
    <row r="29" spans="1:9" x14ac:dyDescent="0.25">
      <c r="A29" s="6" t="s">
        <v>114</v>
      </c>
      <c r="B29" s="12">
        <f>COUNTIFS('Post Data'!$A:$A,"pt_city",'Post Data'!$H:$H,"Humor / trends &amp; challenges")</f>
        <v>17</v>
      </c>
      <c r="C29" s="18">
        <f>B29/COUNTIF('Post Data'!$A:$A,"pt_city")</f>
        <v>0.15740740740740741</v>
      </c>
      <c r="D29" s="12">
        <f>IFERROR(AVERAGEIFS('Post Data'!$J:$J,'Post Data'!$A:$A,"pt_city",'Post Data'!$H:$H,"Humor / trends &amp; challenges"),0)</f>
        <v>35.352941176470587</v>
      </c>
      <c r="E29" s="14">
        <f>IFERROR(AVERAGEIFS('Post Data'!$K:$K,'Post Data'!$A:$A,"pt_city",'Post Data'!$H:$H,"Humor / trends &amp; challenges"),0)</f>
        <v>2.6470588235294117</v>
      </c>
      <c r="F29" s="15">
        <f>IFERROR(AVERAGEIFS('Post Data'!$N:$N,'Post Data'!$A:$A,"pt_city",'Post Data'!$H:$H,"Humor / trends &amp; challenges"),0)</f>
        <v>9.6032347738185479E-3</v>
      </c>
      <c r="G29" s="16">
        <v>8.339651250947688E-3</v>
      </c>
      <c r="H29" s="19">
        <v>1.783783783783784</v>
      </c>
      <c r="I29" s="7"/>
    </row>
    <row r="30" spans="1:9" x14ac:dyDescent="0.25">
      <c r="A30" s="6" t="s">
        <v>115</v>
      </c>
      <c r="B30" s="12">
        <f>COUNTIFS('Post Data'!$A:$A,"pt_city",'Post Data'!$H:$H,"Hiring / careers")</f>
        <v>1</v>
      </c>
      <c r="C30" s="18">
        <f>B30/COUNTIF('Post Data'!$A:$A,"pt_city")</f>
        <v>9.2592592592592587E-3</v>
      </c>
      <c r="D30" s="12">
        <f>IFERROR(AVERAGEIFS('Post Data'!$J:$J,'Post Data'!$A:$A,"pt_city",'Post Data'!$H:$H,"Hiring / careers"),0)</f>
        <v>32</v>
      </c>
      <c r="E30" s="14">
        <f>IFERROR(AVERAGEIFS('Post Data'!$K:$K,'Post Data'!$A:$A,"pt_city",'Post Data'!$H:$H,"Hiring / careers"),0)</f>
        <v>2</v>
      </c>
      <c r="F30" s="15">
        <f>IFERROR(AVERAGEIFS('Post Data'!$N:$N,'Post Data'!$A:$A,"pt_city",'Post Data'!$H:$H,"Hiring / careers"),0)</f>
        <v>8.5923679555218596E-3</v>
      </c>
      <c r="G30" s="16">
        <v>8.5923679555218596E-3</v>
      </c>
      <c r="H30" s="19">
        <v>1.8378378378378379</v>
      </c>
      <c r="I30" s="7"/>
    </row>
    <row r="31" spans="1:9" x14ac:dyDescent="0.25">
      <c r="A31" s="6" t="s">
        <v>116</v>
      </c>
      <c r="B31" s="12">
        <f>COUNTIFS('Post Data'!$A:$A,"pt_city",'Post Data'!$H:$H,"Awareness days / holidays")</f>
        <v>7</v>
      </c>
      <c r="C31" s="18">
        <f>B31/COUNTIF('Post Data'!$A:$A,"pt_city")</f>
        <v>6.4814814814814811E-2</v>
      </c>
      <c r="D31" s="12">
        <f>IFERROR(AVERAGEIFS('Post Data'!$J:$J,'Post Data'!$A:$A,"pt_city",'Post Data'!$H:$H,"Awareness days / holidays"),0)</f>
        <v>15.571428571428571</v>
      </c>
      <c r="E31" s="14">
        <f>IFERROR(AVERAGEIFS('Post Data'!$K:$K,'Post Data'!$A:$A,"pt_city",'Post Data'!$H:$H,"Awareness days / holidays"),0)</f>
        <v>0.7142857142857143</v>
      </c>
      <c r="F31" s="15">
        <f>IFERROR(AVERAGEIFS('Post Data'!$N:$N,'Post Data'!$A:$A,"pt_city",'Post Data'!$H:$H,"Awareness days / holidays"),0)</f>
        <v>4.1156720459222355E-3</v>
      </c>
      <c r="G31" s="16">
        <v>3.5380338640384132E-3</v>
      </c>
      <c r="H31" s="19">
        <v>0.7567567567567568</v>
      </c>
      <c r="I31" s="7"/>
    </row>
    <row r="32" spans="1:9" x14ac:dyDescent="0.25">
      <c r="A32" s="6" t="s">
        <v>117</v>
      </c>
      <c r="B32" s="12">
        <f>COUNTIFS('Post Data'!$A:$A,"pt_city",'Post Data'!$H:$H,"Community &amp; events")</f>
        <v>7</v>
      </c>
      <c r="C32" s="18">
        <f>B32/COUNTIF('Post Data'!$A:$A,"pt_city")</f>
        <v>6.4814814814814811E-2</v>
      </c>
      <c r="D32" s="12">
        <f>IFERROR(AVERAGEIFS('Post Data'!$J:$J,'Post Data'!$A:$A,"pt_city",'Post Data'!$H:$H,"Community &amp; events"),0)</f>
        <v>21</v>
      </c>
      <c r="E32" s="14">
        <f>IFERROR(AVERAGEIFS('Post Data'!$K:$K,'Post Data'!$A:$A,"pt_city",'Post Data'!$H:$H,"Community &amp; events"),0)</f>
        <v>1.1428571428571428</v>
      </c>
      <c r="F32" s="15">
        <f>IFERROR(AVERAGEIFS('Post Data'!$N:$N,'Post Data'!$A:$A,"pt_city",'Post Data'!$H:$H,"Community &amp; events"),0)</f>
        <v>5.595869886999531E-3</v>
      </c>
      <c r="G32" s="16">
        <v>5.5597675006317914E-3</v>
      </c>
      <c r="H32" s="19">
        <v>1.189189189189189</v>
      </c>
      <c r="I32" s="7"/>
    </row>
    <row r="33" spans="1:9" x14ac:dyDescent="0.25">
      <c r="A33" s="6" t="s">
        <v>118</v>
      </c>
      <c r="B33" s="12">
        <f>COUNTIFS('Post Data'!$A:$A,"pt_city",'Post Data'!$H:$H,"Patient stories / reviews")</f>
        <v>4</v>
      </c>
      <c r="C33" s="18">
        <f>B33/COUNTIF('Post Data'!$A:$A,"pt_city")</f>
        <v>3.7037037037037035E-2</v>
      </c>
      <c r="D33" s="12">
        <f>IFERROR(AVERAGEIFS('Post Data'!$J:$J,'Post Data'!$A:$A,"pt_city",'Post Data'!$H:$H,"Patient stories / reviews"),0)</f>
        <v>17.75</v>
      </c>
      <c r="E33" s="14">
        <f>IFERROR(AVERAGEIFS('Post Data'!$K:$K,'Post Data'!$A:$A,"pt_city",'Post Data'!$H:$H,"Patient stories / reviews"),0)</f>
        <v>1.25</v>
      </c>
      <c r="F33" s="15">
        <f>IFERROR(AVERAGEIFS('Post Data'!$N:$N,'Post Data'!$A:$A,"pt_city",'Post Data'!$H:$H,"Patient stories / reviews"),0)</f>
        <v>4.8016173869092748E-3</v>
      </c>
      <c r="G33" s="16">
        <v>4.8016173869092748E-3</v>
      </c>
      <c r="H33" s="19">
        <v>1.027027027027027</v>
      </c>
      <c r="I33" s="7"/>
    </row>
    <row r="34" spans="1:9" x14ac:dyDescent="0.25">
      <c r="A34" s="6" t="s">
        <v>119</v>
      </c>
      <c r="B34" s="12">
        <f>COUNTIFS('Post Data'!$A:$A,"pt_city",'Post Data'!$H:$H,"Team / culture &amp; BTS")</f>
        <v>7</v>
      </c>
      <c r="C34" s="18">
        <f>B34/COUNTIF('Post Data'!$A:$A,"pt_city")</f>
        <v>6.4814814814814811E-2</v>
      </c>
      <c r="D34" s="12">
        <f>IFERROR(AVERAGEIFS('Post Data'!$J:$J,'Post Data'!$A:$A,"pt_city",'Post Data'!$H:$H,"Team / culture &amp; BTS"),0)</f>
        <v>36.714285714285715</v>
      </c>
      <c r="E34" s="14">
        <f>IFERROR(AVERAGEIFS('Post Data'!$K:$K,'Post Data'!$A:$A,"pt_city",'Post Data'!$H:$H,"Team / culture &amp; BTS"),0)</f>
        <v>3</v>
      </c>
      <c r="F34" s="15">
        <f>IFERROR(AVERAGEIFS('Post Data'!$N:$N,'Post Data'!$A:$A,"pt_city",'Post Data'!$H:$H,"Team / culture &amp; BTS"),0)</f>
        <v>1.0036463410231415E-2</v>
      </c>
      <c r="G34" s="16">
        <v>6.8233510235026539E-3</v>
      </c>
      <c r="H34" s="19">
        <v>1.4594594594594601</v>
      </c>
      <c r="I34" s="7"/>
    </row>
    <row r="35" spans="1:9" x14ac:dyDescent="0.25">
      <c r="A35" s="6" t="s">
        <v>120</v>
      </c>
      <c r="B35" s="12">
        <f>COUNTIFS('Post Data'!$A:$A,"pt_city",'Post Data'!$H:$H,"Clinic / services promo")</f>
        <v>28</v>
      </c>
      <c r="C35" s="18">
        <f>B35/COUNTIF('Post Data'!$A:$A,"pt_city")</f>
        <v>0.25925925925925924</v>
      </c>
      <c r="D35" s="12">
        <f>IFERROR(AVERAGEIFS('Post Data'!$J:$J,'Post Data'!$A:$A,"pt_city",'Post Data'!$H:$H,"Clinic / services promo"),0)</f>
        <v>24.321428571428573</v>
      </c>
      <c r="E35" s="14">
        <f>IFERROR(AVERAGEIFS('Post Data'!$K:$K,'Post Data'!$A:$A,"pt_city",'Post Data'!$H:$H,"Clinic / services promo"),0)</f>
        <v>1.5714285714285714</v>
      </c>
      <c r="F35" s="15">
        <f>IFERROR(AVERAGEIFS('Post Data'!$N:$N,'Post Data'!$A:$A,"pt_city",'Post Data'!$H:$H,"Clinic / services promo"),0)</f>
        <v>6.5435575291526759E-3</v>
      </c>
      <c r="G35" s="16">
        <v>3.0326004548900682E-3</v>
      </c>
      <c r="H35" s="19">
        <v>0.64864864864864868</v>
      </c>
      <c r="I35" s="7"/>
    </row>
    <row r="36" spans="1:9" x14ac:dyDescent="0.25">
      <c r="A36" s="6" t="s">
        <v>121</v>
      </c>
      <c r="B36" s="12">
        <f>COUNTIFS('Post Data'!$A:$A,"pt_city",'Post Data'!$H:$H,"Education / exercise tips")</f>
        <v>31</v>
      </c>
      <c r="C36" s="18">
        <f>B36/COUNTIF('Post Data'!$A:$A,"pt_city")</f>
        <v>0.28703703703703703</v>
      </c>
      <c r="D36" s="12">
        <f>IFERROR(AVERAGEIFS('Post Data'!$J:$J,'Post Data'!$A:$A,"pt_city",'Post Data'!$H:$H,"Education / exercise tips"),0)</f>
        <v>21.677419354838708</v>
      </c>
      <c r="E36" s="14">
        <f>IFERROR(AVERAGEIFS('Post Data'!$K:$K,'Post Data'!$A:$A,"pt_city",'Post Data'!$H:$H,"Education / exercise tips"),0)</f>
        <v>2</v>
      </c>
      <c r="F36" s="15">
        <f>IFERROR(AVERAGEIFS('Post Data'!$N:$N,'Post Data'!$A:$A,"pt_city",'Post Data'!$H:$H,"Education / exercise tips"),0)</f>
        <v>5.9836793921755633E-3</v>
      </c>
      <c r="G36" s="16">
        <v>2.5271670457417241E-3</v>
      </c>
      <c r="H36" s="19">
        <v>0.54054054054054057</v>
      </c>
      <c r="I36" s="7"/>
    </row>
    <row r="37" spans="1:9" x14ac:dyDescent="0.25">
      <c r="A37" s="6" t="s">
        <v>122</v>
      </c>
      <c r="B37" s="12">
        <f>COUNTIFS('Post Data'!$A:$A,"pt_city",'Post Data'!$H:$H,"Other / brand")</f>
        <v>6</v>
      </c>
      <c r="C37" s="18">
        <f>B37/COUNTIF('Post Data'!$A:$A,"pt_city")</f>
        <v>5.5555555555555552E-2</v>
      </c>
      <c r="D37" s="12">
        <f>IFERROR(AVERAGEIFS('Post Data'!$J:$J,'Post Data'!$A:$A,"pt_city",'Post Data'!$H:$H,"Other / brand"),0)</f>
        <v>34.333333333333336</v>
      </c>
      <c r="E37" s="14">
        <f>IFERROR(AVERAGEIFS('Post Data'!$K:$K,'Post Data'!$A:$A,"pt_city",'Post Data'!$H:$H,"Other / brand"),0)</f>
        <v>2.5</v>
      </c>
      <c r="F37" s="15">
        <f>IFERROR(AVERAGEIFS('Post Data'!$N:$N,'Post Data'!$A:$A,"pt_city",'Post Data'!$H:$H,"Other / brand"),0)</f>
        <v>9.3083986184820163E-3</v>
      </c>
      <c r="G37" s="16">
        <v>8.7187263078089463E-3</v>
      </c>
      <c r="H37" s="19">
        <v>1.8648648648648649</v>
      </c>
      <c r="I37" s="7"/>
    </row>
    <row r="39" spans="1:9" ht="20.100000000000001" customHeight="1" x14ac:dyDescent="0.25">
      <c r="A39" s="3" t="s">
        <v>123</v>
      </c>
      <c r="B39" s="4"/>
      <c r="C39" s="4"/>
      <c r="D39" s="4"/>
      <c r="E39" s="4"/>
      <c r="F39" s="4"/>
      <c r="G39" s="4"/>
      <c r="H39" s="4"/>
      <c r="I39" s="4"/>
    </row>
    <row r="40" spans="1:9" ht="30" customHeight="1" x14ac:dyDescent="0.25">
      <c r="A40" s="5" t="s">
        <v>124</v>
      </c>
      <c r="B40" s="5" t="s">
        <v>100</v>
      </c>
      <c r="C40" s="5" t="s">
        <v>104</v>
      </c>
      <c r="D40" s="5" t="s">
        <v>105</v>
      </c>
      <c r="E40" s="5"/>
      <c r="F40" s="5" t="s">
        <v>125</v>
      </c>
      <c r="G40" s="5" t="s">
        <v>100</v>
      </c>
      <c r="H40" s="5" t="s">
        <v>105</v>
      </c>
      <c r="I40" s="5"/>
    </row>
    <row r="41" spans="1:9" x14ac:dyDescent="0.25">
      <c r="A41" s="6" t="s">
        <v>126</v>
      </c>
      <c r="B41" s="12">
        <f>COUNTIFS('Post Data'!$A:$A,"pt_city",'Post Data'!$E:$E,"Mon")</f>
        <v>22</v>
      </c>
      <c r="C41" s="15">
        <f>IFERROR(AVERAGEIFS('Post Data'!$N:$N,'Post Data'!$A:$A,"pt_city",'Post Data'!$E:$E,"Mon"),0)</f>
        <v>5.0658212144186364E-3</v>
      </c>
      <c r="D41" s="15">
        <v>2.400808693454637E-3</v>
      </c>
      <c r="E41" s="7"/>
      <c r="F41" s="7" t="s">
        <v>127</v>
      </c>
      <c r="G41" s="12">
        <v>6</v>
      </c>
      <c r="H41" s="15">
        <v>1.0108668182966889E-3</v>
      </c>
      <c r="I41" s="7"/>
    </row>
    <row r="42" spans="1:9" ht="25.5" x14ac:dyDescent="0.25">
      <c r="A42" s="6" t="s">
        <v>128</v>
      </c>
      <c r="B42" s="12">
        <f>COUNTIFS('Post Data'!$A:$A,"pt_city",'Post Data'!$E:$E,"Tue")</f>
        <v>16</v>
      </c>
      <c r="C42" s="15">
        <f>IFERROR(AVERAGEIFS('Post Data'!$N:$N,'Post Data'!$A:$A,"pt_city",'Post Data'!$E:$E,"Tue"),0)</f>
        <v>5.9704321455648227E-3</v>
      </c>
      <c r="D42" s="15">
        <v>4.169825625473844E-3</v>
      </c>
      <c r="E42" s="7"/>
      <c r="F42" s="7" t="s">
        <v>129</v>
      </c>
      <c r="G42" s="12">
        <v>11</v>
      </c>
      <c r="H42" s="15">
        <v>3.5380338640384132E-3</v>
      </c>
      <c r="I42" s="7"/>
    </row>
    <row r="43" spans="1:9" ht="25.5" x14ac:dyDescent="0.25">
      <c r="A43" s="6" t="s">
        <v>130</v>
      </c>
      <c r="B43" s="12">
        <f>COUNTIFS('Post Data'!$A:$A,"pt_city",'Post Data'!$E:$E,"Wed")</f>
        <v>21</v>
      </c>
      <c r="C43" s="15">
        <f>IFERROR(AVERAGEIFS('Post Data'!$N:$N,'Post Data'!$A:$A,"pt_city",'Post Data'!$E:$E,"Wed"),0)</f>
        <v>6.0170643946231509E-3</v>
      </c>
      <c r="D43" s="15">
        <v>4.5489006823351023E-3</v>
      </c>
      <c r="E43" s="7"/>
      <c r="F43" s="7" t="s">
        <v>131</v>
      </c>
      <c r="G43" s="12">
        <v>55</v>
      </c>
      <c r="H43" s="15">
        <v>3.7907505686125848E-3</v>
      </c>
      <c r="I43" s="7"/>
    </row>
    <row r="44" spans="1:9" ht="25.5" x14ac:dyDescent="0.25">
      <c r="A44" s="6" t="s">
        <v>132</v>
      </c>
      <c r="B44" s="12">
        <f>COUNTIFS('Post Data'!$A:$A,"pt_city",'Post Data'!$E:$E,"Thu")</f>
        <v>12</v>
      </c>
      <c r="C44" s="15">
        <f>IFERROR(AVERAGEIFS('Post Data'!$N:$N,'Post Data'!$A:$A,"pt_city",'Post Data'!$E:$E,"Thu"),0)</f>
        <v>1.5099823098306797E-2</v>
      </c>
      <c r="D44" s="15">
        <v>6.0652009097801364E-3</v>
      </c>
      <c r="E44" s="7"/>
      <c r="F44" s="7" t="s">
        <v>133</v>
      </c>
      <c r="G44" s="12">
        <v>35</v>
      </c>
      <c r="H44" s="15">
        <v>6.0652009097801364E-3</v>
      </c>
      <c r="I44" s="7"/>
    </row>
    <row r="45" spans="1:9" ht="25.5" x14ac:dyDescent="0.25">
      <c r="A45" s="6" t="s">
        <v>134</v>
      </c>
      <c r="B45" s="12">
        <f>COUNTIFS('Post Data'!$A:$A,"pt_city",'Post Data'!$E:$E,"Fri")</f>
        <v>23</v>
      </c>
      <c r="C45" s="15">
        <f>IFERROR(AVERAGEIFS('Post Data'!$N:$N,'Post Data'!$A:$A,"pt_city",'Post Data'!$E:$E,"Fri"),0)</f>
        <v>4.5159376339123846E-3</v>
      </c>
      <c r="D45" s="15">
        <v>3.0326004548900682E-3</v>
      </c>
      <c r="E45" s="7"/>
      <c r="F45" s="7" t="s">
        <v>135</v>
      </c>
      <c r="G45" s="12">
        <v>1</v>
      </c>
      <c r="H45" s="15">
        <v>9.0978013646702046E-3</v>
      </c>
      <c r="I45" s="7"/>
    </row>
    <row r="46" spans="1:9" x14ac:dyDescent="0.25">
      <c r="A46" s="6" t="s">
        <v>136</v>
      </c>
      <c r="B46" s="12">
        <f>COUNTIFS('Post Data'!$A:$A,"pt_city",'Post Data'!$E:$E,"Sat")</f>
        <v>7</v>
      </c>
      <c r="C46" s="15">
        <f>IFERROR(AVERAGEIFS('Post Data'!$N:$N,'Post Data'!$A:$A,"pt_city",'Post Data'!$E:$E,"Sat"),0)</f>
        <v>1.2671937615076357E-2</v>
      </c>
      <c r="D46" s="15">
        <v>9.0978013646702046E-3</v>
      </c>
      <c r="E46" s="7"/>
      <c r="F46" s="7"/>
      <c r="G46" s="12"/>
      <c r="H46" s="15"/>
      <c r="I46" s="7"/>
    </row>
    <row r="47" spans="1:9" x14ac:dyDescent="0.25">
      <c r="A47" s="6" t="s">
        <v>137</v>
      </c>
      <c r="B47" s="12">
        <f>COUNTIFS('Post Data'!$A:$A,"pt_city",'Post Data'!$E:$E,"Sun")</f>
        <v>7</v>
      </c>
      <c r="C47" s="15">
        <f>IFERROR(AVERAGEIFS('Post Data'!$N:$N,'Post Data'!$A:$A,"pt_city",'Post Data'!$E:$E,"Sun"),0)</f>
        <v>6.6789414780316983E-3</v>
      </c>
      <c r="D47" s="15">
        <v>6.5706343189284814E-3</v>
      </c>
      <c r="E47" s="7"/>
      <c r="F47" s="7"/>
      <c r="G47" s="12"/>
      <c r="H47" s="15"/>
      <c r="I47" s="7"/>
    </row>
    <row r="49" spans="1:9" ht="20.100000000000001" customHeight="1" x14ac:dyDescent="0.25">
      <c r="A49" s="3" t="s">
        <v>138</v>
      </c>
      <c r="B49" s="4"/>
      <c r="C49" s="4"/>
      <c r="D49" s="4"/>
      <c r="E49" s="4"/>
      <c r="F49" s="4"/>
      <c r="G49" s="4"/>
      <c r="H49" s="4"/>
      <c r="I49" s="4"/>
    </row>
    <row r="50" spans="1:9" ht="30" customHeight="1" x14ac:dyDescent="0.25">
      <c r="A50" s="5" t="s">
        <v>139</v>
      </c>
      <c r="B50" s="5" t="s">
        <v>100</v>
      </c>
      <c r="C50" s="5" t="s">
        <v>102</v>
      </c>
      <c r="D50" s="5" t="s">
        <v>104</v>
      </c>
      <c r="E50" s="5" t="s">
        <v>140</v>
      </c>
      <c r="F50" s="5" t="s">
        <v>107</v>
      </c>
      <c r="G50" s="5"/>
      <c r="H50" s="5"/>
      <c r="I50" s="5"/>
    </row>
    <row r="51" spans="1:9" x14ac:dyDescent="0.25">
      <c r="A51" s="6" t="s">
        <v>141</v>
      </c>
      <c r="B51" s="12">
        <f>COUNTIFS('Post Data'!$A:$A,"pt_city",'Post Data'!$D:$D,"2026-02")</f>
        <v>12</v>
      </c>
      <c r="C51" s="12">
        <f>IFERROR(AVERAGEIFS('Post Data'!$J:$J,'Post Data'!$A:$A,"pt_city",'Post Data'!$D:$D,"2026-02"),0)</f>
        <v>36.666666666666664</v>
      </c>
      <c r="D51" s="15">
        <f>IFERROR(AVERAGEIFS('Post Data'!$N:$N,'Post Data'!$A:$A,"pt_city",'Post Data'!$D:$D,"2026-02"),0)</f>
        <v>9.6874736753432746E-3</v>
      </c>
      <c r="E51" s="12">
        <f>COUNTIFS('Post Data'!$A:$A,"pt_city",'Post Data'!$D:$D,"2026-02",'Post Data'!$G:$G,"Reel / video")</f>
        <v>11</v>
      </c>
      <c r="F51" s="12">
        <f>IFERROR(AVERAGEIFS('Post Data'!$L:$L,'Post Data'!$A:$A,"pt_city",'Post Data'!$D:$D,"2026-02",'Post Data'!$G:$G,"Reel / video"),0)</f>
        <v>4239.090909090909</v>
      </c>
      <c r="G51" s="7"/>
      <c r="H51" s="7"/>
      <c r="I51" s="7"/>
    </row>
    <row r="52" spans="1:9" x14ac:dyDescent="0.25">
      <c r="A52" s="6" t="s">
        <v>142</v>
      </c>
      <c r="B52" s="12">
        <f>COUNTIFS('Post Data'!$A:$A,"pt_city",'Post Data'!$D:$D,"2026-03")</f>
        <v>12</v>
      </c>
      <c r="C52" s="12">
        <f>IFERROR(AVERAGEIFS('Post Data'!$J:$J,'Post Data'!$A:$A,"pt_city",'Post Data'!$D:$D,"2026-03"),0)</f>
        <v>34.583333333333336</v>
      </c>
      <c r="D52" s="15">
        <f>IFERROR(AVERAGEIFS('Post Data'!$N:$N,'Post Data'!$A:$A,"pt_city",'Post Data'!$D:$D,"2026-03"),0)</f>
        <v>9.6664139499620938E-3</v>
      </c>
      <c r="E52" s="12">
        <f>COUNTIFS('Post Data'!$A:$A,"pt_city",'Post Data'!$D:$D,"2026-03",'Post Data'!$G:$G,"Reel / video")</f>
        <v>7</v>
      </c>
      <c r="F52" s="12">
        <f>IFERROR(AVERAGEIFS('Post Data'!$L:$L,'Post Data'!$A:$A,"pt_city",'Post Data'!$D:$D,"2026-03",'Post Data'!$G:$G,"Reel / video"),0)</f>
        <v>7035.2857142857147</v>
      </c>
      <c r="G52" s="7"/>
      <c r="H52" s="7"/>
      <c r="I52" s="7"/>
    </row>
    <row r="53" spans="1:9" x14ac:dyDescent="0.25">
      <c r="A53" s="6" t="s">
        <v>143</v>
      </c>
      <c r="B53" s="12">
        <f>COUNTIFS('Post Data'!$A:$A,"pt_city",'Post Data'!$D:$D,"2026-04")</f>
        <v>11</v>
      </c>
      <c r="C53" s="12">
        <f>IFERROR(AVERAGEIFS('Post Data'!$J:$J,'Post Data'!$A:$A,"pt_city",'Post Data'!$D:$D,"2026-04"),0)</f>
        <v>10.090909090909092</v>
      </c>
      <c r="D53" s="15">
        <f>IFERROR(AVERAGEIFS('Post Data'!$N:$N,'Post Data'!$A:$A,"pt_city",'Post Data'!$D:$D,"2026-04"),0)</f>
        <v>2.8258322420566546E-3</v>
      </c>
      <c r="E53" s="12">
        <f>COUNTIFS('Post Data'!$A:$A,"pt_city",'Post Data'!$D:$D,"2026-04",'Post Data'!$G:$G,"Reel / video")</f>
        <v>7</v>
      </c>
      <c r="F53" s="12">
        <f>IFERROR(AVERAGEIFS('Post Data'!$L:$L,'Post Data'!$A:$A,"pt_city",'Post Data'!$D:$D,"2026-04",'Post Data'!$G:$G,"Reel / video"),0)</f>
        <v>2438.1428571428573</v>
      </c>
      <c r="G53" s="7"/>
      <c r="H53" s="7"/>
      <c r="I53" s="7"/>
    </row>
    <row r="54" spans="1:9" x14ac:dyDescent="0.25">
      <c r="A54" s="6" t="s">
        <v>144</v>
      </c>
      <c r="B54" s="12">
        <f>COUNTIFS('Post Data'!$A:$A,"pt_city",'Post Data'!$D:$D,"2026-05")</f>
        <v>7</v>
      </c>
      <c r="C54" s="12">
        <f>IFERROR(AVERAGEIFS('Post Data'!$J:$J,'Post Data'!$A:$A,"pt_city",'Post Data'!$D:$D,"2026-05"),0)</f>
        <v>12.142857142857142</v>
      </c>
      <c r="D54" s="15">
        <f>IFERROR(AVERAGEIFS('Post Data'!$N:$N,'Post Data'!$A:$A,"pt_city",'Post Data'!$D:$D,"2026-05"),0)</f>
        <v>3.1770100003610238E-3</v>
      </c>
      <c r="E54" s="12">
        <f>COUNTIFS('Post Data'!$A:$A,"pt_city",'Post Data'!$D:$D,"2026-05",'Post Data'!$G:$G,"Reel / video")</f>
        <v>4</v>
      </c>
      <c r="F54" s="12">
        <f>IFERROR(AVERAGEIFS('Post Data'!$L:$L,'Post Data'!$A:$A,"pt_city",'Post Data'!$D:$D,"2026-05",'Post Data'!$G:$G,"Reel / video"),0)</f>
        <v>6806</v>
      </c>
      <c r="G54" s="7"/>
      <c r="H54" s="7"/>
      <c r="I54" s="7"/>
    </row>
    <row r="55" spans="1:9" x14ac:dyDescent="0.25">
      <c r="A55" s="6" t="s">
        <v>145</v>
      </c>
      <c r="B55" s="12">
        <f>COUNTIFS('Post Data'!$A:$A,"pt_city",'Post Data'!$D:$D,"2026-06")</f>
        <v>18</v>
      </c>
      <c r="C55" s="12">
        <f>IFERROR(AVERAGEIFS('Post Data'!$J:$J,'Post Data'!$A:$A,"pt_city",'Post Data'!$D:$D,"2026-06"),0)</f>
        <v>46.833333333333336</v>
      </c>
      <c r="D55" s="15">
        <f>IFERROR(AVERAGEIFS('Post Data'!$N:$N,'Post Data'!$A:$A,"pt_city",'Post Data'!$D:$D,"2026-06"),0)</f>
        <v>1.2790273214837278E-2</v>
      </c>
      <c r="E55" s="12">
        <f>COUNTIFS('Post Data'!$A:$A,"pt_city",'Post Data'!$D:$D,"2026-06",'Post Data'!$G:$G,"Reel / video")</f>
        <v>15</v>
      </c>
      <c r="F55" s="12">
        <f>IFERROR(AVERAGEIFS('Post Data'!$L:$L,'Post Data'!$A:$A,"pt_city",'Post Data'!$D:$D,"2026-06",'Post Data'!$G:$G,"Reel / video"),0)</f>
        <v>16112.4</v>
      </c>
      <c r="G55" s="7"/>
      <c r="H55" s="7"/>
      <c r="I55" s="7"/>
    </row>
    <row r="56" spans="1:9" x14ac:dyDescent="0.25">
      <c r="A56" s="6" t="s">
        <v>146</v>
      </c>
      <c r="B56" s="12">
        <f>COUNTIFS('Post Data'!$A:$A,"pt_city",'Post Data'!$D:$D,"2026-07")</f>
        <v>10</v>
      </c>
      <c r="C56" s="12">
        <f>IFERROR(AVERAGEIFS('Post Data'!$J:$J,'Post Data'!$A:$A,"pt_city",'Post Data'!$D:$D,"2026-07"),0)</f>
        <v>13.2</v>
      </c>
      <c r="D56" s="15">
        <f>IFERROR(AVERAGEIFS('Post Data'!$N:$N,'Post Data'!$A:$A,"pt_city",'Post Data'!$D:$D,"2026-07"),0)</f>
        <v>3.5633055344958301E-3</v>
      </c>
      <c r="E56" s="12">
        <f>COUNTIFS('Post Data'!$A:$A,"pt_city",'Post Data'!$D:$D,"2026-07",'Post Data'!$G:$G,"Reel / video")</f>
        <v>4</v>
      </c>
      <c r="F56" s="12">
        <f>IFERROR(AVERAGEIFS('Post Data'!$L:$L,'Post Data'!$A:$A,"pt_city",'Post Data'!$D:$D,"2026-07",'Post Data'!$G:$G,"Reel / video"),0)</f>
        <v>1928.75</v>
      </c>
      <c r="G56" s="7"/>
      <c r="H56" s="7"/>
      <c r="I56" s="7"/>
    </row>
    <row r="57" spans="1:9" x14ac:dyDescent="0.25">
      <c r="A57" s="6" t="s">
        <v>147</v>
      </c>
      <c r="B57" s="12">
        <f>COUNTIFS('Post Data'!$A:$A,"pt_city",'Post Data'!$D:$D,"2026-08")</f>
        <v>14</v>
      </c>
      <c r="C57" s="12">
        <f>IFERROR(AVERAGEIFS('Post Data'!$J:$J,'Post Data'!$A:$A,"pt_city",'Post Data'!$D:$D,"2026-08"),0)</f>
        <v>18.714285714285715</v>
      </c>
      <c r="D57" s="15">
        <f>IFERROR(AVERAGEIFS('Post Data'!$N:$N,'Post Data'!$A:$A,"pt_city",'Post Data'!$D:$D,"2026-08"),0)</f>
        <v>5.2167948301382727E-3</v>
      </c>
      <c r="E57" s="12">
        <f>COUNTIFS('Post Data'!$A:$A,"pt_city",'Post Data'!$D:$D,"2026-08",'Post Data'!$G:$G,"Reel / video")</f>
        <v>5</v>
      </c>
      <c r="F57" s="12">
        <f>IFERROR(AVERAGEIFS('Post Data'!$L:$L,'Post Data'!$A:$A,"pt_city",'Post Data'!$D:$D,"2026-08",'Post Data'!$G:$G,"Reel / video"),0)</f>
        <v>19878</v>
      </c>
      <c r="G57" s="7"/>
      <c r="H57" s="7"/>
      <c r="I57" s="7"/>
    </row>
    <row r="58" spans="1:9" x14ac:dyDescent="0.25">
      <c r="A58" s="6" t="s">
        <v>148</v>
      </c>
      <c r="B58" s="12">
        <f>COUNTIFS('Post Data'!$A:$A,"pt_city",'Post Data'!$D:$D,"2026-09")</f>
        <v>19</v>
      </c>
      <c r="C58" s="12">
        <f>IFERROR(AVERAGEIFS('Post Data'!$J:$J,'Post Data'!$A:$A,"pt_city",'Post Data'!$D:$D,"2026-09"),0)</f>
        <v>19</v>
      </c>
      <c r="D58" s="15">
        <f>IFERROR(AVERAGEIFS('Post Data'!$N:$N,'Post Data'!$A:$A,"pt_city",'Post Data'!$D:$D,"2026-09"),0)</f>
        <v>5.0809358498596748E-3</v>
      </c>
      <c r="E58" s="12">
        <f>COUNTIFS('Post Data'!$A:$A,"pt_city",'Post Data'!$D:$D,"2026-09",'Post Data'!$G:$G,"Reel / video")</f>
        <v>9</v>
      </c>
      <c r="F58" s="12">
        <f>IFERROR(AVERAGEIFS('Post Data'!$L:$L,'Post Data'!$A:$A,"pt_city",'Post Data'!$D:$D,"2026-09",'Post Data'!$G:$G,"Reel / video"),0)</f>
        <v>1407.6666666666667</v>
      </c>
      <c r="G58" s="7"/>
      <c r="H58" s="7"/>
      <c r="I58" s="7"/>
    </row>
    <row r="59" spans="1:9" x14ac:dyDescent="0.25">
      <c r="A59" s="6" t="s">
        <v>149</v>
      </c>
      <c r="B59" s="12">
        <f>COUNTIFS('Post Data'!$A:$A,"pt_city",'Post Data'!$D:$D,"2026-10")</f>
        <v>5</v>
      </c>
      <c r="C59" s="12">
        <f>IFERROR(AVERAGEIFS('Post Data'!$J:$J,'Post Data'!$A:$A,"pt_city",'Post Data'!$D:$D,"2026-10"),0)</f>
        <v>25.4</v>
      </c>
      <c r="D59" s="15">
        <f>IFERROR(AVERAGEIFS('Post Data'!$N:$N,'Post Data'!$A:$A,"pt_city",'Post Data'!$D:$D,"2026-10"),0)</f>
        <v>6.5706343189284814E-3</v>
      </c>
      <c r="E59" s="12">
        <f>COUNTIFS('Post Data'!$A:$A,"pt_city",'Post Data'!$D:$D,"2026-10",'Post Data'!$G:$G,"Reel / video")</f>
        <v>4</v>
      </c>
      <c r="F59" s="12">
        <f>IFERROR(AVERAGEIFS('Post Data'!$L:$L,'Post Data'!$A:$A,"pt_city",'Post Data'!$D:$D,"2026-10",'Post Data'!$G:$G,"Reel / video"),0)</f>
        <v>1764.5</v>
      </c>
      <c r="G59" s="7"/>
      <c r="H59" s="7"/>
      <c r="I59" s="7"/>
    </row>
    <row r="61" spans="1:9" ht="20.100000000000001" customHeight="1" x14ac:dyDescent="0.25">
      <c r="A61" s="3" t="s">
        <v>150</v>
      </c>
      <c r="B61" s="4"/>
      <c r="C61" s="4"/>
      <c r="D61" s="4"/>
      <c r="E61" s="4"/>
      <c r="F61" s="4"/>
      <c r="G61" s="4"/>
      <c r="H61" s="4"/>
      <c r="I61" s="4"/>
    </row>
    <row r="62" spans="1:9" ht="30" customHeight="1" x14ac:dyDescent="0.25">
      <c r="A62" s="5" t="s">
        <v>151</v>
      </c>
      <c r="B62" s="5" t="s">
        <v>152</v>
      </c>
      <c r="C62" s="5" t="s">
        <v>99</v>
      </c>
      <c r="D62" s="5" t="s">
        <v>113</v>
      </c>
      <c r="E62" s="5" t="s">
        <v>153</v>
      </c>
      <c r="F62" s="5" t="s">
        <v>154</v>
      </c>
      <c r="G62" s="5" t="s">
        <v>155</v>
      </c>
      <c r="H62" s="5" t="s">
        <v>156</v>
      </c>
      <c r="I62" s="5" t="s">
        <v>46</v>
      </c>
    </row>
    <row r="63" spans="1:9" ht="30" customHeight="1" x14ac:dyDescent="0.25">
      <c r="A63" s="7" t="s">
        <v>157</v>
      </c>
      <c r="B63" s="7" t="s">
        <v>158</v>
      </c>
      <c r="C63" s="7" t="s">
        <v>108</v>
      </c>
      <c r="D63" s="7" t="s">
        <v>121</v>
      </c>
      <c r="E63" s="12">
        <v>274</v>
      </c>
      <c r="F63" s="12">
        <v>34</v>
      </c>
      <c r="G63" s="12">
        <v>41152</v>
      </c>
      <c r="H63" s="15">
        <v>7.783674500884509E-2</v>
      </c>
      <c r="I63" s="9" t="s">
        <v>159</v>
      </c>
    </row>
    <row r="64" spans="1:9" ht="30" customHeight="1" x14ac:dyDescent="0.25">
      <c r="A64" s="7" t="s">
        <v>160</v>
      </c>
      <c r="B64" s="7" t="s">
        <v>161</v>
      </c>
      <c r="C64" s="7" t="s">
        <v>108</v>
      </c>
      <c r="D64" s="7" t="s">
        <v>120</v>
      </c>
      <c r="E64" s="12">
        <v>143</v>
      </c>
      <c r="F64" s="12">
        <v>17</v>
      </c>
      <c r="G64" s="12">
        <v>23269</v>
      </c>
      <c r="H64" s="15">
        <v>4.0434672731867578E-2</v>
      </c>
      <c r="I64" s="9" t="s">
        <v>162</v>
      </c>
    </row>
    <row r="65" spans="1:9" ht="30" customHeight="1" x14ac:dyDescent="0.25">
      <c r="A65" s="7" t="s">
        <v>163</v>
      </c>
      <c r="B65" s="7" t="s">
        <v>164</v>
      </c>
      <c r="C65" s="7" t="s">
        <v>111</v>
      </c>
      <c r="D65" s="7" t="s">
        <v>120</v>
      </c>
      <c r="E65" s="12">
        <v>128</v>
      </c>
      <c r="F65" s="12">
        <v>3</v>
      </c>
      <c r="G65" s="12" t="s">
        <v>110</v>
      </c>
      <c r="H65" s="15">
        <v>3.3105888299216582E-2</v>
      </c>
      <c r="I65" s="9" t="s">
        <v>165</v>
      </c>
    </row>
    <row r="66" spans="1:9" ht="30" customHeight="1" x14ac:dyDescent="0.25">
      <c r="A66" s="7" t="s">
        <v>166</v>
      </c>
      <c r="B66" s="7" t="s">
        <v>167</v>
      </c>
      <c r="C66" s="7" t="s">
        <v>108</v>
      </c>
      <c r="D66" s="7" t="s">
        <v>119</v>
      </c>
      <c r="E66" s="12">
        <v>77</v>
      </c>
      <c r="F66" s="12">
        <v>12</v>
      </c>
      <c r="G66" s="12">
        <v>50049</v>
      </c>
      <c r="H66" s="15">
        <v>2.2491786707101339E-2</v>
      </c>
      <c r="I66" s="9" t="s">
        <v>168</v>
      </c>
    </row>
    <row r="67" spans="1:9" ht="30" customHeight="1" x14ac:dyDescent="0.25">
      <c r="A67" s="7" t="s">
        <v>169</v>
      </c>
      <c r="B67" s="7" t="s">
        <v>170</v>
      </c>
      <c r="C67" s="7" t="s">
        <v>108</v>
      </c>
      <c r="D67" s="7" t="s">
        <v>119</v>
      </c>
      <c r="E67" s="12">
        <v>81</v>
      </c>
      <c r="F67" s="12">
        <v>2</v>
      </c>
      <c r="G67" s="12">
        <v>5856</v>
      </c>
      <c r="H67" s="15">
        <v>2.0975486479656309E-2</v>
      </c>
      <c r="I67" s="9" t="s">
        <v>171</v>
      </c>
    </row>
    <row r="68" spans="1:9" ht="30" customHeight="1" x14ac:dyDescent="0.25">
      <c r="A68" s="7" t="s">
        <v>172</v>
      </c>
      <c r="B68" s="7" t="s">
        <v>173</v>
      </c>
      <c r="C68" s="7" t="s">
        <v>108</v>
      </c>
      <c r="D68" s="7" t="s">
        <v>122</v>
      </c>
      <c r="E68" s="12">
        <v>72</v>
      </c>
      <c r="F68" s="12">
        <v>3</v>
      </c>
      <c r="G68" s="12">
        <v>5288</v>
      </c>
      <c r="H68" s="15">
        <v>1.8953752843062929E-2</v>
      </c>
      <c r="I68" s="9" t="s">
        <v>174</v>
      </c>
    </row>
    <row r="69" spans="1:9" ht="30" customHeight="1" x14ac:dyDescent="0.25">
      <c r="A69" s="7" t="s">
        <v>175</v>
      </c>
      <c r="B69" s="7" t="s">
        <v>176</v>
      </c>
      <c r="C69" s="7" t="s">
        <v>108</v>
      </c>
      <c r="D69" s="7" t="s">
        <v>114</v>
      </c>
      <c r="E69" s="12">
        <v>66</v>
      </c>
      <c r="F69" s="12">
        <v>0</v>
      </c>
      <c r="G69" s="12">
        <v>6062</v>
      </c>
      <c r="H69" s="15">
        <v>1.6679302501895379E-2</v>
      </c>
      <c r="I69" s="9" t="s">
        <v>177</v>
      </c>
    </row>
    <row r="70" spans="1:9" ht="30" customHeight="1" x14ac:dyDescent="0.25">
      <c r="A70" s="7" t="s">
        <v>178</v>
      </c>
      <c r="B70" s="7" t="s">
        <v>179</v>
      </c>
      <c r="C70" s="7" t="s">
        <v>108</v>
      </c>
      <c r="D70" s="7" t="s">
        <v>114</v>
      </c>
      <c r="E70" s="12">
        <v>63</v>
      </c>
      <c r="F70" s="12">
        <v>3</v>
      </c>
      <c r="G70" s="12">
        <v>4584</v>
      </c>
      <c r="H70" s="15">
        <v>1.6679302501895379E-2</v>
      </c>
      <c r="I70" s="9" t="s">
        <v>180</v>
      </c>
    </row>
    <row r="71" spans="1:9" ht="30" customHeight="1" x14ac:dyDescent="0.25">
      <c r="A71" s="7" t="s">
        <v>181</v>
      </c>
      <c r="B71" s="7" t="s">
        <v>182</v>
      </c>
      <c r="C71" s="7" t="s">
        <v>108</v>
      </c>
      <c r="D71" s="7" t="s">
        <v>120</v>
      </c>
      <c r="E71" s="12">
        <v>57</v>
      </c>
      <c r="F71" s="12">
        <v>1</v>
      </c>
      <c r="G71" s="12">
        <v>3464</v>
      </c>
      <c r="H71" s="15">
        <v>1.4657568865301999E-2</v>
      </c>
      <c r="I71" s="9" t="s">
        <v>183</v>
      </c>
    </row>
    <row r="72" spans="1:9" ht="30" customHeight="1" x14ac:dyDescent="0.25">
      <c r="A72" s="7" t="s">
        <v>184</v>
      </c>
      <c r="B72" s="7" t="s">
        <v>185</v>
      </c>
      <c r="C72" s="7" t="s">
        <v>108</v>
      </c>
      <c r="D72" s="7" t="s">
        <v>120</v>
      </c>
      <c r="E72" s="12">
        <v>54</v>
      </c>
      <c r="F72" s="12">
        <v>4</v>
      </c>
      <c r="G72" s="12">
        <v>1377</v>
      </c>
      <c r="H72" s="15">
        <v>1.4657568865301999E-2</v>
      </c>
      <c r="I72" s="9" t="s">
        <v>186</v>
      </c>
    </row>
    <row r="74" spans="1:9" ht="20.100000000000001" customHeight="1" x14ac:dyDescent="0.25">
      <c r="A74" s="3" t="s">
        <v>187</v>
      </c>
      <c r="B74" s="4"/>
      <c r="C74" s="4"/>
      <c r="D74" s="4"/>
      <c r="E74" s="4"/>
      <c r="F74" s="4"/>
      <c r="G74" s="4"/>
      <c r="H74" s="4"/>
      <c r="I74" s="4"/>
    </row>
    <row r="75" spans="1:9" ht="30" customHeight="1" x14ac:dyDescent="0.25">
      <c r="A75" s="5" t="s">
        <v>151</v>
      </c>
      <c r="B75" s="5" t="s">
        <v>152</v>
      </c>
      <c r="C75" s="5" t="s">
        <v>99</v>
      </c>
      <c r="D75" s="5" t="s">
        <v>113</v>
      </c>
      <c r="E75" s="5" t="s">
        <v>153</v>
      </c>
      <c r="F75" s="5" t="s">
        <v>154</v>
      </c>
      <c r="G75" s="5" t="s">
        <v>155</v>
      </c>
      <c r="H75" s="5" t="s">
        <v>156</v>
      </c>
      <c r="I75" s="5" t="s">
        <v>46</v>
      </c>
    </row>
    <row r="76" spans="1:9" ht="30" customHeight="1" x14ac:dyDescent="0.25">
      <c r="A76" s="7" t="s">
        <v>188</v>
      </c>
      <c r="B76" s="7" t="s">
        <v>189</v>
      </c>
      <c r="C76" s="7" t="s">
        <v>111</v>
      </c>
      <c r="D76" s="7" t="s">
        <v>120</v>
      </c>
      <c r="E76" s="12">
        <v>0</v>
      </c>
      <c r="F76" s="12">
        <v>0</v>
      </c>
      <c r="G76" s="12" t="s">
        <v>110</v>
      </c>
      <c r="H76" s="15">
        <v>0</v>
      </c>
      <c r="I76" s="7" t="s">
        <v>190</v>
      </c>
    </row>
    <row r="77" spans="1:9" ht="30" customHeight="1" x14ac:dyDescent="0.25">
      <c r="A77" s="7" t="s">
        <v>191</v>
      </c>
      <c r="B77" s="7" t="s">
        <v>192</v>
      </c>
      <c r="C77" s="7" t="s">
        <v>108</v>
      </c>
      <c r="D77" s="7" t="s">
        <v>120</v>
      </c>
      <c r="E77" s="12">
        <v>2</v>
      </c>
      <c r="F77" s="12">
        <v>0</v>
      </c>
      <c r="G77" s="12">
        <v>573</v>
      </c>
      <c r="H77" s="15">
        <v>5.0543340914834466E-4</v>
      </c>
      <c r="I77" s="7" t="s">
        <v>193</v>
      </c>
    </row>
    <row r="78" spans="1:9" ht="30" customHeight="1" x14ac:dyDescent="0.25">
      <c r="A78" s="7" t="s">
        <v>194</v>
      </c>
      <c r="B78" s="7" t="s">
        <v>195</v>
      </c>
      <c r="C78" s="7" t="s">
        <v>111</v>
      </c>
      <c r="D78" s="7" t="s">
        <v>121</v>
      </c>
      <c r="E78" s="12">
        <v>3</v>
      </c>
      <c r="F78" s="12">
        <v>0</v>
      </c>
      <c r="G78" s="12" t="s">
        <v>110</v>
      </c>
      <c r="H78" s="15">
        <v>7.5815011372251705E-4</v>
      </c>
      <c r="I78" s="7" t="s">
        <v>196</v>
      </c>
    </row>
    <row r="79" spans="1:9" ht="30" customHeight="1" x14ac:dyDescent="0.25">
      <c r="A79" s="7" t="s">
        <v>197</v>
      </c>
      <c r="B79" s="7" t="s">
        <v>198</v>
      </c>
      <c r="C79" s="7" t="s">
        <v>111</v>
      </c>
      <c r="D79" s="7" t="s">
        <v>116</v>
      </c>
      <c r="E79" s="12">
        <v>3</v>
      </c>
      <c r="F79" s="12">
        <v>0</v>
      </c>
      <c r="G79" s="12" t="s">
        <v>110</v>
      </c>
      <c r="H79" s="15">
        <v>7.5815011372251705E-4</v>
      </c>
      <c r="I79" s="7" t="s">
        <v>199</v>
      </c>
    </row>
    <row r="80" spans="1:9" ht="30" customHeight="1" x14ac:dyDescent="0.25">
      <c r="A80" s="7" t="s">
        <v>200</v>
      </c>
      <c r="B80" s="7" t="s">
        <v>201</v>
      </c>
      <c r="C80" s="7" t="s">
        <v>111</v>
      </c>
      <c r="D80" s="7" t="s">
        <v>121</v>
      </c>
      <c r="E80" s="12">
        <v>3</v>
      </c>
      <c r="F80" s="12">
        <v>0</v>
      </c>
      <c r="G80" s="12" t="s">
        <v>110</v>
      </c>
      <c r="H80" s="15">
        <v>7.5815011372251705E-4</v>
      </c>
      <c r="I80" s="7" t="s">
        <v>202</v>
      </c>
    </row>
    <row r="82" spans="1:9" ht="20.100000000000001" customHeight="1" x14ac:dyDescent="0.25">
      <c r="A82" s="3" t="s">
        <v>203</v>
      </c>
      <c r="B82" s="4"/>
      <c r="C82" s="4"/>
      <c r="D82" s="4"/>
      <c r="E82" s="4"/>
      <c r="F82" s="4"/>
      <c r="G82" s="4"/>
      <c r="H82" s="4"/>
      <c r="I82" s="4"/>
    </row>
    <row r="83" spans="1:9" ht="45.95" customHeight="1" x14ac:dyDescent="0.25">
      <c r="A83" s="20" t="s">
        <v>204</v>
      </c>
      <c r="B83" s="51" t="s">
        <v>205</v>
      </c>
      <c r="C83" s="52"/>
      <c r="D83" s="52"/>
      <c r="E83" s="52"/>
      <c r="F83" s="52"/>
      <c r="G83" s="52"/>
      <c r="H83" s="52"/>
      <c r="I83" s="52"/>
    </row>
    <row r="84" spans="1:9" ht="45.95" customHeight="1" x14ac:dyDescent="0.25">
      <c r="A84" s="20" t="s">
        <v>206</v>
      </c>
      <c r="B84" s="51" t="s">
        <v>207</v>
      </c>
      <c r="C84" s="52"/>
      <c r="D84" s="52"/>
      <c r="E84" s="52"/>
      <c r="F84" s="52"/>
      <c r="G84" s="52"/>
      <c r="H84" s="52"/>
      <c r="I84" s="52"/>
    </row>
    <row r="85" spans="1:9" ht="45.95" customHeight="1" x14ac:dyDescent="0.25">
      <c r="A85" s="20" t="s">
        <v>208</v>
      </c>
      <c r="B85" s="51" t="s">
        <v>209</v>
      </c>
      <c r="C85" s="52"/>
      <c r="D85" s="52"/>
      <c r="E85" s="52"/>
      <c r="F85" s="52"/>
      <c r="G85" s="52"/>
      <c r="H85" s="52"/>
      <c r="I85" s="52"/>
    </row>
    <row r="86" spans="1:9" ht="45.95" customHeight="1" x14ac:dyDescent="0.25">
      <c r="A86" s="20" t="s">
        <v>210</v>
      </c>
      <c r="B86" s="51" t="s">
        <v>211</v>
      </c>
      <c r="C86" s="52"/>
      <c r="D86" s="52"/>
      <c r="E86" s="52"/>
      <c r="F86" s="52"/>
      <c r="G86" s="52"/>
      <c r="H86" s="52"/>
      <c r="I86" s="52"/>
    </row>
    <row r="87" spans="1:9" ht="45.95" customHeight="1" x14ac:dyDescent="0.25">
      <c r="A87" s="20" t="s">
        <v>212</v>
      </c>
      <c r="B87" s="51" t="s">
        <v>213</v>
      </c>
      <c r="C87" s="52"/>
      <c r="D87" s="52"/>
      <c r="E87" s="52"/>
      <c r="F87" s="52"/>
      <c r="G87" s="52"/>
      <c r="H87" s="52"/>
      <c r="I87" s="52"/>
    </row>
    <row r="88" spans="1:9" ht="45.95" customHeight="1" x14ac:dyDescent="0.25">
      <c r="A88" s="20" t="s">
        <v>214</v>
      </c>
      <c r="B88" s="51" t="s">
        <v>215</v>
      </c>
      <c r="C88" s="52"/>
      <c r="D88" s="52"/>
      <c r="E88" s="52"/>
      <c r="F88" s="52"/>
      <c r="G88" s="52"/>
      <c r="H88" s="52"/>
      <c r="I88" s="52"/>
    </row>
    <row r="89" spans="1:9" ht="45.95" customHeight="1" x14ac:dyDescent="0.25">
      <c r="A89" s="20" t="s">
        <v>216</v>
      </c>
      <c r="B89" s="51" t="s">
        <v>217</v>
      </c>
      <c r="C89" s="52"/>
      <c r="D89" s="52"/>
      <c r="E89" s="52"/>
      <c r="F89" s="52"/>
      <c r="G89" s="52"/>
      <c r="H89" s="52"/>
      <c r="I89" s="52"/>
    </row>
    <row r="90" spans="1:9" ht="45.95" customHeight="1" x14ac:dyDescent="0.25">
      <c r="A90" s="20" t="s">
        <v>218</v>
      </c>
      <c r="B90" s="51" t="s">
        <v>219</v>
      </c>
      <c r="C90" s="52"/>
      <c r="D90" s="52"/>
      <c r="E90" s="52"/>
      <c r="F90" s="52"/>
      <c r="G90" s="52"/>
      <c r="H90" s="52"/>
      <c r="I90" s="52"/>
    </row>
  </sheetData>
  <mergeCells count="22">
    <mergeCell ref="C6:I6"/>
    <mergeCell ref="C15:I15"/>
    <mergeCell ref="C14:I14"/>
    <mergeCell ref="B88:I88"/>
    <mergeCell ref="B87:I87"/>
    <mergeCell ref="C10:I10"/>
    <mergeCell ref="C16:I16"/>
    <mergeCell ref="B84:I84"/>
    <mergeCell ref="B83:I83"/>
    <mergeCell ref="C9:I9"/>
    <mergeCell ref="C12:I12"/>
    <mergeCell ref="B85:I85"/>
    <mergeCell ref="C11:I11"/>
    <mergeCell ref="C17:I17"/>
    <mergeCell ref="C8:I8"/>
    <mergeCell ref="B90:I90"/>
    <mergeCell ref="C7:I7"/>
    <mergeCell ref="C19:I19"/>
    <mergeCell ref="C13:I13"/>
    <mergeCell ref="B86:I86"/>
    <mergeCell ref="C18:I18"/>
    <mergeCell ref="B89:I89"/>
  </mergeCells>
  <hyperlinks>
    <hyperlink ref="I63" r:id="rId1" xr:uid="{00000000-0004-0000-0100-000000000000}"/>
    <hyperlink ref="I64" r:id="rId2" xr:uid="{00000000-0004-0000-0100-000001000000}"/>
    <hyperlink ref="I65" r:id="rId3" xr:uid="{00000000-0004-0000-0100-000002000000}"/>
    <hyperlink ref="I66" r:id="rId4" xr:uid="{00000000-0004-0000-0100-000003000000}"/>
    <hyperlink ref="I67" r:id="rId5" xr:uid="{00000000-0004-0000-0100-000004000000}"/>
    <hyperlink ref="I68" r:id="rId6" xr:uid="{00000000-0004-0000-0100-000005000000}"/>
    <hyperlink ref="I69" r:id="rId7" xr:uid="{00000000-0004-0000-0100-000006000000}"/>
    <hyperlink ref="I70" r:id="rId8" xr:uid="{00000000-0004-0000-0100-000007000000}"/>
    <hyperlink ref="I71" r:id="rId9" xr:uid="{00000000-0004-0000-0100-000008000000}"/>
    <hyperlink ref="I72" r:id="rId10" xr:uid="{00000000-0004-0000-0100-000009000000}"/>
    <hyperlink ref="I76" r:id="rId11" xr:uid="{00000000-0004-0000-0100-00000A000000}"/>
    <hyperlink ref="I77" r:id="rId12" xr:uid="{00000000-0004-0000-0100-00000B000000}"/>
    <hyperlink ref="I78" r:id="rId13" xr:uid="{00000000-0004-0000-0100-00000C000000}"/>
    <hyperlink ref="I79" r:id="rId14" xr:uid="{00000000-0004-0000-0100-00000D000000}"/>
    <hyperlink ref="I80" r:id="rId15" xr:uid="{00000000-0004-0000-0100-00000E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E8C99"/>
  </sheetPr>
  <dimension ref="A1:F59"/>
  <sheetViews>
    <sheetView showGridLines="0" zoomScale="90" workbookViewId="0">
      <pane xSplit="1" ySplit="4" topLeftCell="B5" activePane="bottomRight" state="frozen"/>
      <selection pane="topRight"/>
      <selection pane="bottomLeft"/>
      <selection pane="bottomRight"/>
    </sheetView>
  </sheetViews>
  <sheetFormatPr defaultRowHeight="15" x14ac:dyDescent="0.25"/>
  <cols>
    <col min="1" max="1" width="34" customWidth="1"/>
    <col min="2" max="6" width="22" customWidth="1"/>
  </cols>
  <sheetData>
    <row r="1" spans="1:6" ht="26.1" customHeight="1" x14ac:dyDescent="0.3">
      <c r="A1" s="1" t="s">
        <v>220</v>
      </c>
    </row>
    <row r="2" spans="1:6" x14ac:dyDescent="0.25">
      <c r="A2" s="2" t="s">
        <v>221</v>
      </c>
    </row>
    <row r="4" spans="1:6" ht="20.100000000000001" customHeight="1" x14ac:dyDescent="0.25">
      <c r="A4" s="3" t="s">
        <v>222</v>
      </c>
      <c r="B4" s="4"/>
      <c r="C4" s="4"/>
      <c r="D4" s="4"/>
      <c r="E4" s="4"/>
      <c r="F4" s="4"/>
    </row>
    <row r="5" spans="1:6" ht="30" customHeight="1" x14ac:dyDescent="0.25">
      <c r="A5" s="5" t="s">
        <v>223</v>
      </c>
      <c r="B5" s="5" t="s">
        <v>224</v>
      </c>
      <c r="C5" s="5" t="s">
        <v>225</v>
      </c>
      <c r="D5" s="5" t="s">
        <v>226</v>
      </c>
      <c r="E5" s="5" t="s">
        <v>227</v>
      </c>
      <c r="F5" s="5" t="s">
        <v>228</v>
      </c>
    </row>
    <row r="6" spans="1:6" ht="25.5" x14ac:dyDescent="0.25">
      <c r="A6" s="6" t="s">
        <v>229</v>
      </c>
      <c r="B6" s="21" t="s">
        <v>230</v>
      </c>
      <c r="C6" s="7" t="s">
        <v>231</v>
      </c>
      <c r="D6" s="7" t="s">
        <v>232</v>
      </c>
      <c r="E6" s="7" t="s">
        <v>233</v>
      </c>
      <c r="F6" s="7" t="s">
        <v>234</v>
      </c>
    </row>
    <row r="7" spans="1:6" x14ac:dyDescent="0.25">
      <c r="A7" s="6" t="s">
        <v>74</v>
      </c>
      <c r="B7" s="22">
        <v>3957</v>
      </c>
      <c r="C7" s="11">
        <v>1735</v>
      </c>
      <c r="D7" s="11">
        <v>48900</v>
      </c>
      <c r="E7" s="11">
        <v>6817</v>
      </c>
      <c r="F7" s="11">
        <v>10500</v>
      </c>
    </row>
    <row r="8" spans="1:6" x14ac:dyDescent="0.25">
      <c r="A8" s="6" t="s">
        <v>76</v>
      </c>
      <c r="B8" s="22">
        <v>7</v>
      </c>
      <c r="C8" s="11">
        <v>544</v>
      </c>
      <c r="D8" s="11">
        <v>4684</v>
      </c>
      <c r="E8" s="11">
        <v>680</v>
      </c>
      <c r="F8" s="11">
        <v>2128</v>
      </c>
    </row>
    <row r="9" spans="1:6" x14ac:dyDescent="0.25">
      <c r="A9" s="6" t="s">
        <v>78</v>
      </c>
      <c r="B9" s="22">
        <v>1002</v>
      </c>
      <c r="C9" s="11">
        <v>1016</v>
      </c>
      <c r="D9" s="11">
        <v>4094</v>
      </c>
      <c r="E9" s="11">
        <v>1244</v>
      </c>
      <c r="F9" s="11">
        <v>3288</v>
      </c>
    </row>
    <row r="10" spans="1:6" x14ac:dyDescent="0.25">
      <c r="A10" s="6" t="s">
        <v>81</v>
      </c>
      <c r="B10" s="23">
        <v>3.3</v>
      </c>
      <c r="C10" s="13">
        <v>2.7</v>
      </c>
      <c r="D10" s="13">
        <v>3.5</v>
      </c>
      <c r="E10" s="13">
        <v>3.2</v>
      </c>
      <c r="F10" s="13">
        <v>15.4</v>
      </c>
    </row>
    <row r="11" spans="1:6" x14ac:dyDescent="0.25">
      <c r="A11" s="6" t="s">
        <v>79</v>
      </c>
      <c r="B11" s="24">
        <f>COUNTIF('Post Data'!$A:$A,"pt_city")</f>
        <v>108</v>
      </c>
      <c r="C11" s="12">
        <f>COUNTIF('Post Data'!$A:$A,"handsofhopeptny")</f>
        <v>104</v>
      </c>
      <c r="D11" s="12">
        <f>COUNTIF('Post Data'!$A:$A,"jagphysicaltherapy")</f>
        <v>108</v>
      </c>
      <c r="E11" s="12">
        <f>COUNTIF('Post Data'!$A:$A,"spearptnyc")</f>
        <v>108</v>
      </c>
      <c r="F11" s="12">
        <f>COUNTIF('Post Data'!$A:$A,"professionalphysicaltherapy")</f>
        <v>108</v>
      </c>
    </row>
    <row r="12" spans="1:6" x14ac:dyDescent="0.25">
      <c r="A12" s="6" t="s">
        <v>235</v>
      </c>
      <c r="B12" s="24">
        <f>AVERAGEIFS('Post Data'!$J:$J,'Post Data'!$A:$A,"pt_city")</f>
        <v>25.703703703703702</v>
      </c>
      <c r="C12" s="12">
        <f>AVERAGEIFS('Post Data'!$J:$J,'Post Data'!$A:$A,"handsofhopeptny")</f>
        <v>5.4615384615384617</v>
      </c>
      <c r="D12" s="12">
        <f>AVERAGEIFS('Post Data'!$J:$J,'Post Data'!$A:$A,"jagphysicaltherapy")</f>
        <v>791.14814814814815</v>
      </c>
      <c r="E12" s="12">
        <f>AVERAGEIFS('Post Data'!$J:$J,'Post Data'!$A:$A,"spearptnyc")</f>
        <v>74.240740740740748</v>
      </c>
      <c r="F12" s="12">
        <f>AVERAGEIFS('Post Data'!$J:$J,'Post Data'!$A:$A,"professionalphysicaltherapy")</f>
        <v>231.0185185185185</v>
      </c>
    </row>
    <row r="13" spans="1:6" x14ac:dyDescent="0.25">
      <c r="A13" s="6" t="s">
        <v>236</v>
      </c>
      <c r="B13" s="22">
        <v>16.5</v>
      </c>
      <c r="C13" s="11">
        <v>5</v>
      </c>
      <c r="D13" s="11">
        <v>313</v>
      </c>
      <c r="E13" s="11">
        <v>60</v>
      </c>
      <c r="F13" s="11">
        <v>28.5</v>
      </c>
    </row>
    <row r="14" spans="1:6" x14ac:dyDescent="0.25">
      <c r="A14" s="6" t="s">
        <v>237</v>
      </c>
      <c r="B14" s="25">
        <f>AVERAGEIFS('Post Data'!$K:$K,'Post Data'!$A:$A,"pt_city")</f>
        <v>1.9166666666666667</v>
      </c>
      <c r="C14" s="14">
        <f>AVERAGEIFS('Post Data'!$K:$K,'Post Data'!$A:$A,"handsofhopeptny")</f>
        <v>0.17307692307692307</v>
      </c>
      <c r="D14" s="14">
        <f>AVERAGEIFS('Post Data'!$K:$K,'Post Data'!$A:$A,"jagphysicaltherapy")</f>
        <v>6.7777777777777777</v>
      </c>
      <c r="E14" s="14">
        <f>AVERAGEIFS('Post Data'!$K:$K,'Post Data'!$A:$A,"spearptnyc")</f>
        <v>2.6481481481481484</v>
      </c>
      <c r="F14" s="14">
        <f>AVERAGEIFS('Post Data'!$K:$K,'Post Data'!$A:$A,"professionalphysicaltherapy")</f>
        <v>3.6944444444444446</v>
      </c>
    </row>
    <row r="15" spans="1:6" x14ac:dyDescent="0.25">
      <c r="A15" s="6" t="s">
        <v>238</v>
      </c>
      <c r="B15" s="26">
        <f>AVERAGEIFS('Post Data'!$N:$N,'Post Data'!$A:$A,"pt_city")</f>
        <v>6.9801289791181125E-3</v>
      </c>
      <c r="C15" s="15">
        <f>AVERAGEIFS('Post Data'!$N:$N,'Post Data'!$A:$A,"handsofhopeptny")</f>
        <v>3.2476169363777454E-3</v>
      </c>
      <c r="D15" s="15">
        <f>AVERAGEIFS('Post Data'!$N:$N,'Post Data'!$A:$A,"jagphysicaltherapy")</f>
        <v>1.6317503597667198E-2</v>
      </c>
      <c r="E15" s="15">
        <f>AVERAGEIFS('Post Data'!$N:$N,'Post Data'!$A:$A,"spearptnyc")</f>
        <v>1.1278992062327839E-2</v>
      </c>
      <c r="F15" s="15">
        <f>AVERAGEIFS('Post Data'!$N:$N,'Post Data'!$A:$A,"professionalphysicaltherapy")</f>
        <v>2.2353615520282193E-2</v>
      </c>
    </row>
    <row r="16" spans="1:6" x14ac:dyDescent="0.25">
      <c r="A16" s="6" t="s">
        <v>87</v>
      </c>
      <c r="B16" s="27">
        <v>4.6752590346221881E-3</v>
      </c>
      <c r="C16" s="16">
        <v>2.881844380403458E-3</v>
      </c>
      <c r="D16" s="16">
        <v>6.4314928425357873E-3</v>
      </c>
      <c r="E16" s="16">
        <v>8.948217691066452E-3</v>
      </c>
      <c r="F16" s="16">
        <v>2.8571428571428571E-3</v>
      </c>
    </row>
    <row r="17" spans="1:6" x14ac:dyDescent="0.25">
      <c r="A17" s="6" t="s">
        <v>239</v>
      </c>
      <c r="B17" s="28">
        <f>RANK(B16,$B$16:$F$16)</f>
        <v>3</v>
      </c>
      <c r="C17" s="29">
        <f>RANK(C16,$B$16:$F$16)</f>
        <v>4</v>
      </c>
      <c r="D17" s="29">
        <f>RANK(D16,$B$16:$F$16)</f>
        <v>2</v>
      </c>
      <c r="E17" s="29">
        <f>RANK(E16,$B$16:$F$16)</f>
        <v>1</v>
      </c>
      <c r="F17" s="29">
        <f>RANK(F16,$B$16:$F$16)</f>
        <v>5</v>
      </c>
    </row>
    <row r="18" spans="1:6" x14ac:dyDescent="0.25">
      <c r="A18" s="6" t="s">
        <v>240</v>
      </c>
      <c r="B18" s="30">
        <f>COUNTIFS('Post Data'!$A:$A,"pt_city",'Post Data'!$G:$G,"Reel / video")/COUNTIF('Post Data'!$A:$A,"pt_city")</f>
        <v>0.61111111111111116</v>
      </c>
      <c r="C18" s="18">
        <f>COUNTIFS('Post Data'!$A:$A,"handsofhopeptny",'Post Data'!$G:$G,"Reel / video")/COUNTIF('Post Data'!$A:$A,"handsofhopeptny")</f>
        <v>0.13461538461538461</v>
      </c>
      <c r="D18" s="18">
        <f>COUNTIFS('Post Data'!$A:$A,"jagphysicaltherapy",'Post Data'!$G:$G,"Reel / video")/COUNTIF('Post Data'!$A:$A,"jagphysicaltherapy")</f>
        <v>0.89814814814814814</v>
      </c>
      <c r="E18" s="18">
        <f>COUNTIFS('Post Data'!$A:$A,"spearptnyc",'Post Data'!$G:$G,"Reel / video")/COUNTIF('Post Data'!$A:$A,"spearptnyc")</f>
        <v>0.5</v>
      </c>
      <c r="F18" s="18">
        <f>COUNTIFS('Post Data'!$A:$A,"professionalphysicaltherapy",'Post Data'!$G:$G,"Reel / video")/COUNTIF('Post Data'!$A:$A,"professionalphysicaltherapy")</f>
        <v>0.47222222222222221</v>
      </c>
    </row>
    <row r="19" spans="1:6" x14ac:dyDescent="0.25">
      <c r="A19" s="6" t="s">
        <v>241</v>
      </c>
      <c r="B19" s="30">
        <f>COUNTIFS('Post Data'!$A:$A,"pt_city",'Post Data'!$G:$G,"Carousel")/COUNTIF('Post Data'!$A:$A,"pt_city")</f>
        <v>5.5555555555555552E-2</v>
      </c>
      <c r="C19" s="18">
        <f>COUNTIFS('Post Data'!$A:$A,"handsofhopeptny",'Post Data'!$G:$G,"Carousel")/COUNTIF('Post Data'!$A:$A,"handsofhopeptny")</f>
        <v>0.27884615384615385</v>
      </c>
      <c r="D19" s="18">
        <f>COUNTIFS('Post Data'!$A:$A,"jagphysicaltherapy",'Post Data'!$G:$G,"Carousel")/COUNTIF('Post Data'!$A:$A,"jagphysicaltherapy")</f>
        <v>0.10185185185185185</v>
      </c>
      <c r="E19" s="18">
        <f>COUNTIFS('Post Data'!$A:$A,"spearptnyc",'Post Data'!$G:$G,"Carousel")/COUNTIF('Post Data'!$A:$A,"spearptnyc")</f>
        <v>0.23148148148148148</v>
      </c>
      <c r="F19" s="18">
        <f>COUNTIFS('Post Data'!$A:$A,"professionalphysicaltherapy",'Post Data'!$G:$G,"Carousel")/COUNTIF('Post Data'!$A:$A,"professionalphysicaltherapy")</f>
        <v>8.3333333333333329E-2</v>
      </c>
    </row>
    <row r="20" spans="1:6" x14ac:dyDescent="0.25">
      <c r="A20" s="6" t="s">
        <v>242</v>
      </c>
      <c r="B20" s="30">
        <f>COUNTIFS('Post Data'!$A:$A,"pt_city",'Post Data'!$G:$G,"Single image")/COUNTIF('Post Data'!$A:$A,"pt_city")</f>
        <v>0.33333333333333331</v>
      </c>
      <c r="C20" s="18">
        <f>COUNTIFS('Post Data'!$A:$A,"handsofhopeptny",'Post Data'!$G:$G,"Single image")/COUNTIF('Post Data'!$A:$A,"handsofhopeptny")</f>
        <v>0.58653846153846156</v>
      </c>
      <c r="D20" s="18">
        <f>COUNTIFS('Post Data'!$A:$A,"jagphysicaltherapy",'Post Data'!$G:$G,"Single image")/COUNTIF('Post Data'!$A:$A,"jagphysicaltherapy")</f>
        <v>0</v>
      </c>
      <c r="E20" s="18">
        <f>COUNTIFS('Post Data'!$A:$A,"spearptnyc",'Post Data'!$G:$G,"Single image")/COUNTIF('Post Data'!$A:$A,"spearptnyc")</f>
        <v>0.26851851851851855</v>
      </c>
      <c r="F20" s="18">
        <f>COUNTIFS('Post Data'!$A:$A,"professionalphysicaltherapy",'Post Data'!$G:$G,"Single image")/COUNTIF('Post Data'!$A:$A,"professionalphysicaltherapy")</f>
        <v>0.44444444444444442</v>
      </c>
    </row>
    <row r="21" spans="1:6" x14ac:dyDescent="0.25">
      <c r="A21" s="6" t="s">
        <v>89</v>
      </c>
      <c r="B21" s="22">
        <v>2142</v>
      </c>
      <c r="C21" s="11">
        <v>305.5</v>
      </c>
      <c r="D21" s="11">
        <v>23341</v>
      </c>
      <c r="E21" s="11">
        <v>2063</v>
      </c>
      <c r="F21" s="11">
        <v>4462</v>
      </c>
    </row>
    <row r="22" spans="1:6" x14ac:dyDescent="0.25">
      <c r="A22" s="6" t="s">
        <v>243</v>
      </c>
      <c r="B22" s="22">
        <v>72444</v>
      </c>
      <c r="C22" s="11">
        <v>1103</v>
      </c>
      <c r="D22" s="11">
        <v>193648</v>
      </c>
      <c r="E22" s="11">
        <v>35591</v>
      </c>
      <c r="F22" s="11">
        <v>744676</v>
      </c>
    </row>
    <row r="23" spans="1:6" x14ac:dyDescent="0.25">
      <c r="A23" s="6" t="s">
        <v>92</v>
      </c>
      <c r="B23" s="31">
        <v>0.54131918119787714</v>
      </c>
      <c r="C23" s="17">
        <v>0.1760806916426513</v>
      </c>
      <c r="D23" s="17">
        <v>0.47732106339468311</v>
      </c>
      <c r="E23" s="17">
        <v>0.30262578847000149</v>
      </c>
      <c r="F23" s="17">
        <v>0.42495238095238103</v>
      </c>
    </row>
    <row r="24" spans="1:6" x14ac:dyDescent="0.25">
      <c r="A24" s="6" t="s">
        <v>94</v>
      </c>
      <c r="B24" s="23">
        <v>4.403502357053271</v>
      </c>
      <c r="C24" s="13">
        <v>20.29179942981721</v>
      </c>
      <c r="D24" s="13">
        <v>16.197127859844311</v>
      </c>
      <c r="E24" s="13">
        <v>21.45843983902893</v>
      </c>
      <c r="F24" s="13">
        <v>18.821875205186149</v>
      </c>
    </row>
    <row r="25" spans="1:6" x14ac:dyDescent="0.25">
      <c r="A25" s="6" t="s">
        <v>244</v>
      </c>
      <c r="B25" s="30">
        <f>IFERROR(COUNTIFS('Comment Data'!$A:$A,"pt_city",'Comment Data'!$E:$E,"Yes")/COUNTIF('Comment Data'!$A:$A,"pt_city"),0)</f>
        <v>0.3888888888888889</v>
      </c>
      <c r="C25" s="18">
        <f>IFERROR(COUNTIFS('Comment Data'!$A:$A,"handsofhopeptny",'Comment Data'!$E:$E,"Yes")/COUNTIF('Comment Data'!$A:$A,"handsofhopeptny"),0)</f>
        <v>6.6666666666666666E-2</v>
      </c>
      <c r="D25" s="18">
        <f>IFERROR(COUNTIFS('Comment Data'!$A:$A,"jagphysicaltherapy",'Comment Data'!$E:$E,"Yes")/COUNTIF('Comment Data'!$A:$A,"jagphysicaltherapy"),0)</f>
        <v>3.2967032967032968E-2</v>
      </c>
      <c r="E25" s="18">
        <f>IFERROR(COUNTIFS('Comment Data'!$A:$A,"spearptnyc",'Comment Data'!$E:$E,"Yes")/COUNTIF('Comment Data'!$A:$A,"spearptnyc"),0)</f>
        <v>3.2000000000000001E-2</v>
      </c>
      <c r="F25" s="18">
        <f>IFERROR(COUNTIFS('Comment Data'!$A:$A,"professionalphysicaltherapy",'Comment Data'!$E:$E,"Yes")/COUNTIF('Comment Data'!$A:$A,"professionalphysicaltherapy"),0)</f>
        <v>0</v>
      </c>
    </row>
    <row r="26" spans="1:6" x14ac:dyDescent="0.25">
      <c r="A26" s="6" t="s">
        <v>245</v>
      </c>
      <c r="B26" s="23">
        <v>15.7</v>
      </c>
      <c r="C26" s="13">
        <v>40.1</v>
      </c>
      <c r="D26" s="13">
        <v>20.2</v>
      </c>
      <c r="E26" s="13">
        <v>0.2</v>
      </c>
      <c r="F26" s="13" t="s">
        <v>246</v>
      </c>
    </row>
    <row r="27" spans="1:6" x14ac:dyDescent="0.25">
      <c r="A27" s="6" t="s">
        <v>247</v>
      </c>
      <c r="B27" s="24">
        <f>AVERAGEIFS('Post Data'!$P:$P,'Post Data'!$A:$A,"pt_city")</f>
        <v>78.722222222222229</v>
      </c>
      <c r="C27" s="12">
        <f>AVERAGEIFS('Post Data'!$P:$P,'Post Data'!$A:$A,"handsofhopeptny")</f>
        <v>64.211538461538467</v>
      </c>
      <c r="D27" s="12">
        <f>AVERAGEIFS('Post Data'!$P:$P,'Post Data'!$A:$A,"jagphysicaltherapy")</f>
        <v>57.027777777777779</v>
      </c>
      <c r="E27" s="12">
        <f>AVERAGEIFS('Post Data'!$P:$P,'Post Data'!$A:$A,"spearptnyc")</f>
        <v>104.22222222222223</v>
      </c>
      <c r="F27" s="12">
        <f>AVERAGEIFS('Post Data'!$P:$P,'Post Data'!$A:$A,"professionalphysicaltherapy")</f>
        <v>73.092592592592595</v>
      </c>
    </row>
    <row r="28" spans="1:6" x14ac:dyDescent="0.25">
      <c r="A28" s="6" t="s">
        <v>248</v>
      </c>
      <c r="B28" s="25">
        <f>AVERAGEIFS('Post Data'!$Q:$Q,'Post Data'!$A:$A,"pt_city")</f>
        <v>3.0833333333333335</v>
      </c>
      <c r="C28" s="14">
        <f>AVERAGEIFS('Post Data'!$Q:$Q,'Post Data'!$A:$A,"handsofhopeptny")</f>
        <v>2.8269230769230771</v>
      </c>
      <c r="D28" s="14">
        <f>AVERAGEIFS('Post Data'!$Q:$Q,'Post Data'!$A:$A,"jagphysicaltherapy")</f>
        <v>5.2222222222222223</v>
      </c>
      <c r="E28" s="14">
        <f>AVERAGEIFS('Post Data'!$Q:$Q,'Post Data'!$A:$A,"spearptnyc")</f>
        <v>0.49074074074074076</v>
      </c>
      <c r="F28" s="14">
        <f>AVERAGEIFS('Post Data'!$Q:$Q,'Post Data'!$A:$A,"professionalphysicaltherapy")</f>
        <v>4.1944444444444446</v>
      </c>
    </row>
    <row r="29" spans="1:6" x14ac:dyDescent="0.25">
      <c r="A29" s="6" t="s">
        <v>249</v>
      </c>
      <c r="B29" s="30">
        <f>COUNTIFS('Post Data'!$A:$A,"pt_city",'Post Data'!$S:$S,"Yes")/COUNTIF('Post Data'!$A:$A,"pt_city")</f>
        <v>0.62962962962962965</v>
      </c>
      <c r="C29" s="18">
        <f>COUNTIFS('Post Data'!$A:$A,"handsofhopeptny",'Post Data'!$S:$S,"Yes")/COUNTIF('Post Data'!$A:$A,"handsofhopeptny")</f>
        <v>0.76923076923076927</v>
      </c>
      <c r="D29" s="18">
        <f>COUNTIFS('Post Data'!$A:$A,"jagphysicaltherapy",'Post Data'!$S:$S,"Yes")/COUNTIF('Post Data'!$A:$A,"jagphysicaltherapy")</f>
        <v>0.42592592592592593</v>
      </c>
      <c r="E29" s="18">
        <f>COUNTIFS('Post Data'!$A:$A,"spearptnyc",'Post Data'!$S:$S,"Yes")/COUNTIF('Post Data'!$A:$A,"spearptnyc")</f>
        <v>0.43518518518518517</v>
      </c>
      <c r="F29" s="18">
        <f>COUNTIFS('Post Data'!$A:$A,"professionalphysicaltherapy",'Post Data'!$S:$S,"Yes")/COUNTIF('Post Data'!$A:$A,"professionalphysicaltherapy")</f>
        <v>0.57407407407407407</v>
      </c>
    </row>
    <row r="30" spans="1:6" x14ac:dyDescent="0.25">
      <c r="A30" s="6" t="s">
        <v>250</v>
      </c>
      <c r="B30" s="30">
        <f>COUNTIFS('Post Data'!$A:$A,"pt_city",'Post Data'!$U:$U,"&lt;&gt;")/COUNTIF('Post Data'!$A:$A,"pt_city")</f>
        <v>0.67592592592592593</v>
      </c>
      <c r="C30" s="18">
        <f>COUNTIFS('Post Data'!$A:$A,"handsofhopeptny",'Post Data'!$U:$U,"&lt;&gt;")/COUNTIF('Post Data'!$A:$A,"handsofhopeptny")</f>
        <v>0</v>
      </c>
      <c r="D30" s="18">
        <f>COUNTIFS('Post Data'!$A:$A,"jagphysicaltherapy",'Post Data'!$U:$U,"&lt;&gt;")/COUNTIF('Post Data'!$A:$A,"jagphysicaltherapy")</f>
        <v>0</v>
      </c>
      <c r="E30" s="18">
        <f>COUNTIFS('Post Data'!$A:$A,"spearptnyc",'Post Data'!$U:$U,"&lt;&gt;")/COUNTIF('Post Data'!$A:$A,"spearptnyc")</f>
        <v>0.16666666666666666</v>
      </c>
      <c r="F30" s="18">
        <f>COUNTIFS('Post Data'!$A:$A,"professionalphysicaltherapy",'Post Data'!$U:$U,"&lt;&gt;")/COUNTIF('Post Data'!$A:$A,"professionalphysicaltherapy")</f>
        <v>0.70370370370370372</v>
      </c>
    </row>
    <row r="31" spans="1:6" x14ac:dyDescent="0.25">
      <c r="A31" s="6" t="s">
        <v>251</v>
      </c>
      <c r="B31" s="30">
        <f>COUNTIFS('Post Data'!$A:$A,"pt_city",'Post Data'!$V:$V,"&lt;&gt;")/COUNTIF('Post Data'!$A:$A,"pt_city")</f>
        <v>2.7777777777777776E-2</v>
      </c>
      <c r="C31" s="18">
        <f>COUNTIFS('Post Data'!$A:$A,"handsofhopeptny",'Post Data'!$V:$V,"&lt;&gt;")/COUNTIF('Post Data'!$A:$A,"handsofhopeptny")</f>
        <v>0</v>
      </c>
      <c r="D31" s="18">
        <f>COUNTIFS('Post Data'!$A:$A,"jagphysicaltherapy",'Post Data'!$V:$V,"&lt;&gt;")/COUNTIF('Post Data'!$A:$A,"jagphysicaltherapy")</f>
        <v>6.4814814814814811E-2</v>
      </c>
      <c r="E31" s="18">
        <f>COUNTIFS('Post Data'!$A:$A,"spearptnyc",'Post Data'!$V:$V,"&lt;&gt;")/COUNTIF('Post Data'!$A:$A,"spearptnyc")</f>
        <v>0.21296296296296297</v>
      </c>
      <c r="F31" s="18">
        <f>COUNTIFS('Post Data'!$A:$A,"professionalphysicaltherapy",'Post Data'!$V:$V,"&lt;&gt;")/COUNTIF('Post Data'!$A:$A,"professionalphysicaltherapy")</f>
        <v>0.29629629629629628</v>
      </c>
    </row>
    <row r="32" spans="1:6" ht="44.1" customHeight="1" x14ac:dyDescent="0.25">
      <c r="A32" s="6" t="s">
        <v>252</v>
      </c>
      <c r="B32" s="32" t="s">
        <v>253</v>
      </c>
      <c r="C32" s="33" t="s">
        <v>254</v>
      </c>
      <c r="D32" s="33" t="s">
        <v>255</v>
      </c>
      <c r="E32" s="33" t="s">
        <v>256</v>
      </c>
      <c r="F32" s="33" t="s">
        <v>257</v>
      </c>
    </row>
    <row r="33" spans="1:6" ht="44.1" customHeight="1" x14ac:dyDescent="0.25">
      <c r="A33" s="6" t="s">
        <v>258</v>
      </c>
      <c r="B33" s="32" t="s">
        <v>259</v>
      </c>
      <c r="C33" s="33" t="s">
        <v>260</v>
      </c>
      <c r="D33" s="33" t="s">
        <v>261</v>
      </c>
      <c r="E33" s="33" t="s">
        <v>262</v>
      </c>
      <c r="F33" s="33" t="s">
        <v>263</v>
      </c>
    </row>
    <row r="34" spans="1:6" ht="44.1" customHeight="1" x14ac:dyDescent="0.25">
      <c r="A34" s="6" t="s">
        <v>264</v>
      </c>
      <c r="B34" s="32" t="s">
        <v>265</v>
      </c>
      <c r="C34" s="33" t="s">
        <v>266</v>
      </c>
      <c r="D34" s="33" t="s">
        <v>267</v>
      </c>
      <c r="E34" s="33" t="s">
        <v>268</v>
      </c>
      <c r="F34" s="33" t="s">
        <v>269</v>
      </c>
    </row>
    <row r="35" spans="1:6" ht="44.1" customHeight="1" x14ac:dyDescent="0.25">
      <c r="A35" s="6" t="s">
        <v>270</v>
      </c>
      <c r="B35" s="32" t="s">
        <v>271</v>
      </c>
      <c r="C35" s="33" t="s">
        <v>272</v>
      </c>
      <c r="D35" s="33" t="s">
        <v>273</v>
      </c>
      <c r="E35" s="33" t="s">
        <v>274</v>
      </c>
      <c r="F35" s="33" t="s">
        <v>275</v>
      </c>
    </row>
    <row r="37" spans="1:6" ht="20.100000000000001" customHeight="1" x14ac:dyDescent="0.25">
      <c r="A37" s="3" t="s">
        <v>276</v>
      </c>
      <c r="B37" s="4"/>
      <c r="C37" s="4"/>
      <c r="D37" s="4"/>
      <c r="E37" s="4"/>
      <c r="F37" s="4"/>
    </row>
    <row r="38" spans="1:6" ht="30" customHeight="1" x14ac:dyDescent="0.25">
      <c r="A38" s="5"/>
      <c r="B38" s="5" t="s">
        <v>224</v>
      </c>
      <c r="C38" s="5" t="s">
        <v>225</v>
      </c>
      <c r="D38" s="5" t="s">
        <v>226</v>
      </c>
      <c r="E38" s="5" t="s">
        <v>227</v>
      </c>
      <c r="F38" s="5" t="s">
        <v>228</v>
      </c>
    </row>
    <row r="39" spans="1:6" ht="120" customHeight="1" x14ac:dyDescent="0.25">
      <c r="A39" s="6" t="s">
        <v>277</v>
      </c>
      <c r="B39" s="7" t="s">
        <v>278</v>
      </c>
      <c r="C39" s="7" t="s">
        <v>279</v>
      </c>
      <c r="D39" s="7" t="s">
        <v>280</v>
      </c>
      <c r="E39" s="7" t="s">
        <v>281</v>
      </c>
      <c r="F39" s="7" t="s">
        <v>282</v>
      </c>
    </row>
    <row r="40" spans="1:6" ht="120" customHeight="1" x14ac:dyDescent="0.25">
      <c r="A40" s="6" t="s">
        <v>283</v>
      </c>
      <c r="B40" s="7" t="s">
        <v>284</v>
      </c>
      <c r="C40" s="7" t="s">
        <v>285</v>
      </c>
      <c r="D40" s="7" t="s">
        <v>286</v>
      </c>
      <c r="E40" s="7" t="s">
        <v>287</v>
      </c>
      <c r="F40" s="7" t="s">
        <v>288</v>
      </c>
    </row>
    <row r="41" spans="1:6" ht="120" customHeight="1" x14ac:dyDescent="0.25">
      <c r="A41" s="6" t="s">
        <v>289</v>
      </c>
      <c r="B41" s="7" t="s">
        <v>290</v>
      </c>
      <c r="C41" s="7" t="s">
        <v>291</v>
      </c>
      <c r="D41" s="7" t="s">
        <v>292</v>
      </c>
      <c r="E41" s="7" t="s">
        <v>293</v>
      </c>
      <c r="F41" s="7" t="s">
        <v>294</v>
      </c>
    </row>
    <row r="43" spans="1:6" ht="20.100000000000001" customHeight="1" x14ac:dyDescent="0.25">
      <c r="A43" s="3" t="s">
        <v>295</v>
      </c>
      <c r="B43" s="4"/>
      <c r="C43" s="4"/>
      <c r="D43" s="4"/>
      <c r="E43" s="4"/>
      <c r="F43" s="4"/>
    </row>
    <row r="44" spans="1:6" ht="30" customHeight="1" x14ac:dyDescent="0.25">
      <c r="A44" s="5" t="s">
        <v>296</v>
      </c>
      <c r="B44" s="5" t="s">
        <v>151</v>
      </c>
      <c r="C44" s="5" t="s">
        <v>99</v>
      </c>
      <c r="D44" s="5" t="s">
        <v>153</v>
      </c>
      <c r="E44" s="5" t="s">
        <v>297</v>
      </c>
      <c r="F44" s="5" t="s">
        <v>156</v>
      </c>
    </row>
    <row r="45" spans="1:6" ht="30" customHeight="1" x14ac:dyDescent="0.25">
      <c r="A45" s="7" t="s">
        <v>224</v>
      </c>
      <c r="B45" s="7" t="s">
        <v>157</v>
      </c>
      <c r="C45" s="7" t="s">
        <v>108</v>
      </c>
      <c r="D45" s="12">
        <v>274</v>
      </c>
      <c r="E45" s="12">
        <v>41152</v>
      </c>
      <c r="F45" s="15">
        <v>7.783674500884509E-2</v>
      </c>
    </row>
    <row r="46" spans="1:6" ht="30" customHeight="1" x14ac:dyDescent="0.25">
      <c r="A46" s="7" t="s">
        <v>224</v>
      </c>
      <c r="B46" s="7" t="s">
        <v>160</v>
      </c>
      <c r="C46" s="7" t="s">
        <v>108</v>
      </c>
      <c r="D46" s="12">
        <v>143</v>
      </c>
      <c r="E46" s="12">
        <v>23269</v>
      </c>
      <c r="F46" s="15">
        <v>4.0434672731867578E-2</v>
      </c>
    </row>
    <row r="47" spans="1:6" ht="30" customHeight="1" x14ac:dyDescent="0.25">
      <c r="A47" s="7" t="s">
        <v>224</v>
      </c>
      <c r="B47" s="7" t="s">
        <v>163</v>
      </c>
      <c r="C47" s="7" t="s">
        <v>111</v>
      </c>
      <c r="D47" s="12">
        <v>128</v>
      </c>
      <c r="E47" s="12" t="s">
        <v>110</v>
      </c>
      <c r="F47" s="15">
        <v>3.3105888299216582E-2</v>
      </c>
    </row>
    <row r="48" spans="1:6" ht="30" customHeight="1" x14ac:dyDescent="0.25">
      <c r="A48" s="7" t="s">
        <v>225</v>
      </c>
      <c r="B48" s="7" t="s">
        <v>298</v>
      </c>
      <c r="C48" s="7" t="s">
        <v>111</v>
      </c>
      <c r="D48" s="12">
        <v>19</v>
      </c>
      <c r="E48" s="12" t="s">
        <v>110</v>
      </c>
      <c r="F48" s="15">
        <v>1.0951008645533141E-2</v>
      </c>
    </row>
    <row r="49" spans="1:6" ht="30" customHeight="1" x14ac:dyDescent="0.25">
      <c r="A49" s="7" t="s">
        <v>225</v>
      </c>
      <c r="B49" s="7" t="s">
        <v>299</v>
      </c>
      <c r="C49" s="7" t="s">
        <v>108</v>
      </c>
      <c r="D49" s="12">
        <v>17</v>
      </c>
      <c r="E49" s="12">
        <v>378</v>
      </c>
      <c r="F49" s="15">
        <v>9.7982708933717581E-3</v>
      </c>
    </row>
    <row r="50" spans="1:6" ht="30" customHeight="1" x14ac:dyDescent="0.25">
      <c r="A50" s="7" t="s">
        <v>225</v>
      </c>
      <c r="B50" s="7" t="s">
        <v>300</v>
      </c>
      <c r="C50" s="7" t="s">
        <v>108</v>
      </c>
      <c r="D50" s="12">
        <v>15</v>
      </c>
      <c r="E50" s="12">
        <v>962</v>
      </c>
      <c r="F50" s="15">
        <v>8.6455331412103754E-3</v>
      </c>
    </row>
    <row r="51" spans="1:6" ht="30" customHeight="1" x14ac:dyDescent="0.25">
      <c r="A51" s="7" t="s">
        <v>226</v>
      </c>
      <c r="B51" s="7" t="s">
        <v>301</v>
      </c>
      <c r="C51" s="7" t="s">
        <v>109</v>
      </c>
      <c r="D51" s="12">
        <v>25727</v>
      </c>
      <c r="E51" s="12" t="s">
        <v>110</v>
      </c>
      <c r="F51" s="15">
        <v>0.52736196319018402</v>
      </c>
    </row>
    <row r="52" spans="1:6" ht="30" customHeight="1" x14ac:dyDescent="0.25">
      <c r="A52" s="7" t="s">
        <v>226</v>
      </c>
      <c r="B52" s="7" t="s">
        <v>302</v>
      </c>
      <c r="C52" s="7" t="s">
        <v>109</v>
      </c>
      <c r="D52" s="12">
        <v>11557</v>
      </c>
      <c r="E52" s="12" t="s">
        <v>110</v>
      </c>
      <c r="F52" s="15">
        <v>0.23672801635991819</v>
      </c>
    </row>
    <row r="53" spans="1:6" ht="30" customHeight="1" x14ac:dyDescent="0.25">
      <c r="A53" s="7" t="s">
        <v>226</v>
      </c>
      <c r="B53" s="7" t="s">
        <v>303</v>
      </c>
      <c r="C53" s="7" t="s">
        <v>108</v>
      </c>
      <c r="D53" s="12">
        <v>2202</v>
      </c>
      <c r="E53" s="12">
        <v>125130</v>
      </c>
      <c r="F53" s="15">
        <v>4.5766871165644173E-2</v>
      </c>
    </row>
    <row r="54" spans="1:6" ht="30" customHeight="1" x14ac:dyDescent="0.25">
      <c r="A54" s="7" t="s">
        <v>227</v>
      </c>
      <c r="B54" s="7" t="s">
        <v>304</v>
      </c>
      <c r="C54" s="7" t="s">
        <v>108</v>
      </c>
      <c r="D54" s="12">
        <v>347</v>
      </c>
      <c r="E54" s="12">
        <v>35591</v>
      </c>
      <c r="F54" s="15">
        <v>5.5889687545841282E-2</v>
      </c>
    </row>
    <row r="55" spans="1:6" ht="30" customHeight="1" x14ac:dyDescent="0.25">
      <c r="A55" s="7" t="s">
        <v>227</v>
      </c>
      <c r="B55" s="7" t="s">
        <v>305</v>
      </c>
      <c r="C55" s="7" t="s">
        <v>109</v>
      </c>
      <c r="D55" s="12">
        <v>310</v>
      </c>
      <c r="E55" s="12" t="s">
        <v>110</v>
      </c>
      <c r="F55" s="15">
        <v>4.5767933108405448E-2</v>
      </c>
    </row>
    <row r="56" spans="1:6" ht="30" customHeight="1" x14ac:dyDescent="0.25">
      <c r="A56" s="7" t="s">
        <v>227</v>
      </c>
      <c r="B56" s="7" t="s">
        <v>306</v>
      </c>
      <c r="C56" s="7" t="s">
        <v>109</v>
      </c>
      <c r="D56" s="12">
        <v>235</v>
      </c>
      <c r="E56" s="12" t="s">
        <v>110</v>
      </c>
      <c r="F56" s="15">
        <v>3.5792870764265808E-2</v>
      </c>
    </row>
    <row r="57" spans="1:6" ht="30" customHeight="1" x14ac:dyDescent="0.25">
      <c r="A57" s="7" t="s">
        <v>228</v>
      </c>
      <c r="B57" s="7" t="s">
        <v>307</v>
      </c>
      <c r="C57" s="7" t="s">
        <v>108</v>
      </c>
      <c r="D57" s="12">
        <v>14809</v>
      </c>
      <c r="E57" s="12">
        <v>744676</v>
      </c>
      <c r="F57" s="15">
        <v>1.418666666666667</v>
      </c>
    </row>
    <row r="58" spans="1:6" ht="30" customHeight="1" x14ac:dyDescent="0.25">
      <c r="A58" s="7" t="s">
        <v>228</v>
      </c>
      <c r="B58" s="7" t="s">
        <v>308</v>
      </c>
      <c r="C58" s="7" t="s">
        <v>108</v>
      </c>
      <c r="D58" s="12">
        <v>3561</v>
      </c>
      <c r="E58" s="12">
        <v>112359</v>
      </c>
      <c r="F58" s="15">
        <v>0.34095238095238101</v>
      </c>
    </row>
    <row r="59" spans="1:6" ht="30" customHeight="1" x14ac:dyDescent="0.25">
      <c r="A59" s="7" t="s">
        <v>228</v>
      </c>
      <c r="B59" s="7" t="s">
        <v>309</v>
      </c>
      <c r="C59" s="7" t="s">
        <v>108</v>
      </c>
      <c r="D59" s="12">
        <v>1268</v>
      </c>
      <c r="E59" s="12">
        <v>82172</v>
      </c>
      <c r="F59" s="15">
        <v>0.12133333333333329</v>
      </c>
    </row>
  </sheetData>
  <hyperlinks>
    <hyperlink ref="B45" r:id="rId1" xr:uid="{00000000-0004-0000-0200-000000000000}"/>
    <hyperlink ref="B46" r:id="rId2" xr:uid="{00000000-0004-0000-0200-000001000000}"/>
    <hyperlink ref="B47" r:id="rId3" xr:uid="{00000000-0004-0000-0200-000002000000}"/>
    <hyperlink ref="B48" r:id="rId4" xr:uid="{00000000-0004-0000-0200-000003000000}"/>
    <hyperlink ref="B49" r:id="rId5" xr:uid="{00000000-0004-0000-0200-000004000000}"/>
    <hyperlink ref="B50" r:id="rId6" xr:uid="{00000000-0004-0000-0200-000005000000}"/>
    <hyperlink ref="B51" r:id="rId7" xr:uid="{00000000-0004-0000-0200-000006000000}"/>
    <hyperlink ref="B52" r:id="rId8" xr:uid="{00000000-0004-0000-0200-000007000000}"/>
    <hyperlink ref="B53" r:id="rId9" xr:uid="{00000000-0004-0000-0200-000008000000}"/>
    <hyperlink ref="B54" r:id="rId10" xr:uid="{00000000-0004-0000-0200-000009000000}"/>
    <hyperlink ref="B55" r:id="rId11" xr:uid="{00000000-0004-0000-0200-00000A000000}"/>
    <hyperlink ref="B56" r:id="rId12" xr:uid="{00000000-0004-0000-0200-00000B000000}"/>
    <hyperlink ref="B57" r:id="rId13" xr:uid="{00000000-0004-0000-0200-00000C000000}"/>
    <hyperlink ref="B58" r:id="rId14" xr:uid="{00000000-0004-0000-0200-00000D000000}"/>
    <hyperlink ref="B59" r:id="rId15" xr:uid="{00000000-0004-0000-0200-00000E000000}"/>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E8C99"/>
  </sheetPr>
  <dimension ref="A1:D32"/>
  <sheetViews>
    <sheetView showGridLines="0" zoomScale="90" workbookViewId="0"/>
  </sheetViews>
  <sheetFormatPr defaultRowHeight="15" x14ac:dyDescent="0.25"/>
  <cols>
    <col min="1" max="1" width="26" customWidth="1"/>
    <col min="2" max="2" width="70" customWidth="1"/>
    <col min="3" max="3" width="24" customWidth="1"/>
    <col min="4" max="4" width="30" customWidth="1"/>
  </cols>
  <sheetData>
    <row r="1" spans="1:4" ht="26.1" customHeight="1" x14ac:dyDescent="0.3">
      <c r="A1" s="1" t="s">
        <v>310</v>
      </c>
    </row>
    <row r="2" spans="1:4" x14ac:dyDescent="0.25">
      <c r="A2" s="2" t="s">
        <v>311</v>
      </c>
    </row>
    <row r="4" spans="1:4" ht="20.100000000000001" customHeight="1" x14ac:dyDescent="0.25">
      <c r="A4" s="3" t="s">
        <v>312</v>
      </c>
      <c r="B4" s="4"/>
      <c r="C4" s="4"/>
      <c r="D4" s="4"/>
    </row>
    <row r="5" spans="1:4" ht="30" customHeight="1" x14ac:dyDescent="0.25">
      <c r="A5" s="5" t="s">
        <v>296</v>
      </c>
      <c r="B5" s="5" t="s">
        <v>313</v>
      </c>
      <c r="C5" s="5" t="s">
        <v>314</v>
      </c>
      <c r="D5" s="5" t="s">
        <v>315</v>
      </c>
    </row>
    <row r="6" spans="1:4" ht="75" customHeight="1" x14ac:dyDescent="0.25">
      <c r="A6" s="6" t="s">
        <v>224</v>
      </c>
      <c r="B6" s="7" t="s">
        <v>316</v>
      </c>
      <c r="C6" s="7" t="s">
        <v>317</v>
      </c>
      <c r="D6" s="7" t="s">
        <v>318</v>
      </c>
    </row>
    <row r="7" spans="1:4" ht="75" customHeight="1" x14ac:dyDescent="0.25">
      <c r="A7" s="6" t="s">
        <v>225</v>
      </c>
      <c r="B7" s="7" t="s">
        <v>319</v>
      </c>
      <c r="C7" s="7" t="s">
        <v>320</v>
      </c>
      <c r="D7" s="7" t="s">
        <v>321</v>
      </c>
    </row>
    <row r="8" spans="1:4" ht="75" customHeight="1" x14ac:dyDescent="0.25">
      <c r="A8" s="6" t="s">
        <v>226</v>
      </c>
      <c r="B8" s="7" t="s">
        <v>322</v>
      </c>
      <c r="C8" s="7" t="s">
        <v>323</v>
      </c>
      <c r="D8" s="7" t="s">
        <v>324</v>
      </c>
    </row>
    <row r="9" spans="1:4" ht="75" customHeight="1" x14ac:dyDescent="0.25">
      <c r="A9" s="6" t="s">
        <v>227</v>
      </c>
      <c r="B9" s="7" t="s">
        <v>325</v>
      </c>
      <c r="C9" s="7" t="s">
        <v>326</v>
      </c>
      <c r="D9" s="7" t="s">
        <v>327</v>
      </c>
    </row>
    <row r="10" spans="1:4" ht="75" customHeight="1" x14ac:dyDescent="0.25">
      <c r="A10" s="6" t="s">
        <v>228</v>
      </c>
      <c r="B10" s="7" t="s">
        <v>328</v>
      </c>
      <c r="C10" s="7" t="s">
        <v>329</v>
      </c>
      <c r="D10" s="7" t="s">
        <v>330</v>
      </c>
    </row>
    <row r="12" spans="1:4" ht="20.100000000000001" customHeight="1" x14ac:dyDescent="0.25">
      <c r="A12" s="3" t="s">
        <v>331</v>
      </c>
      <c r="B12" s="4"/>
      <c r="C12" s="4"/>
      <c r="D12" s="4"/>
    </row>
    <row r="13" spans="1:4" ht="30" customHeight="1" x14ac:dyDescent="0.25">
      <c r="A13" s="51" t="s">
        <v>332</v>
      </c>
      <c r="B13" s="52"/>
      <c r="C13" s="52"/>
      <c r="D13" s="52"/>
    </row>
    <row r="14" spans="1:4" ht="30" customHeight="1" x14ac:dyDescent="0.25">
      <c r="A14" s="51" t="s">
        <v>333</v>
      </c>
      <c r="B14" s="52"/>
      <c r="C14" s="52"/>
      <c r="D14" s="52"/>
    </row>
    <row r="15" spans="1:4" ht="30" customHeight="1" x14ac:dyDescent="0.25">
      <c r="A15" s="51" t="s">
        <v>334</v>
      </c>
      <c r="B15" s="52"/>
      <c r="C15" s="52"/>
      <c r="D15" s="52"/>
    </row>
    <row r="16" spans="1:4" ht="30" customHeight="1" x14ac:dyDescent="0.25">
      <c r="A16" s="51" t="s">
        <v>335</v>
      </c>
      <c r="B16" s="52"/>
      <c r="C16" s="52"/>
      <c r="D16" s="52"/>
    </row>
    <row r="18" spans="1:4" ht="20.100000000000001" customHeight="1" x14ac:dyDescent="0.25">
      <c r="A18" s="3" t="s">
        <v>336</v>
      </c>
      <c r="B18" s="4"/>
      <c r="C18" s="4"/>
      <c r="D18" s="4"/>
    </row>
    <row r="19" spans="1:4" ht="30" customHeight="1" x14ac:dyDescent="0.25">
      <c r="A19" s="5" t="s">
        <v>337</v>
      </c>
      <c r="B19" s="5" t="s">
        <v>338</v>
      </c>
      <c r="C19" s="5" t="s">
        <v>339</v>
      </c>
      <c r="D19" s="5"/>
    </row>
    <row r="20" spans="1:4" ht="60" customHeight="1" x14ac:dyDescent="0.25">
      <c r="A20" s="6" t="s">
        <v>340</v>
      </c>
      <c r="B20" s="7" t="s">
        <v>341</v>
      </c>
      <c r="C20" s="7" t="s">
        <v>342</v>
      </c>
      <c r="D20" s="7"/>
    </row>
    <row r="21" spans="1:4" ht="60" customHeight="1" x14ac:dyDescent="0.25">
      <c r="A21" s="6" t="s">
        <v>343</v>
      </c>
      <c r="B21" s="7" t="s">
        <v>344</v>
      </c>
      <c r="C21" s="7" t="s">
        <v>345</v>
      </c>
      <c r="D21" s="7"/>
    </row>
    <row r="22" spans="1:4" ht="60" customHeight="1" x14ac:dyDescent="0.25">
      <c r="A22" s="6" t="s">
        <v>346</v>
      </c>
      <c r="B22" s="7" t="s">
        <v>347</v>
      </c>
      <c r="C22" s="7" t="s">
        <v>348</v>
      </c>
      <c r="D22" s="7"/>
    </row>
    <row r="23" spans="1:4" ht="60" customHeight="1" x14ac:dyDescent="0.25">
      <c r="A23" s="6" t="s">
        <v>349</v>
      </c>
      <c r="B23" s="7" t="s">
        <v>350</v>
      </c>
      <c r="C23" s="7" t="s">
        <v>348</v>
      </c>
      <c r="D23" s="7"/>
    </row>
    <row r="24" spans="1:4" ht="60" customHeight="1" x14ac:dyDescent="0.25">
      <c r="A24" s="6" t="s">
        <v>351</v>
      </c>
      <c r="B24" s="7" t="s">
        <v>352</v>
      </c>
      <c r="C24" s="7" t="s">
        <v>348</v>
      </c>
      <c r="D24" s="7"/>
    </row>
    <row r="25" spans="1:4" ht="60" customHeight="1" x14ac:dyDescent="0.25">
      <c r="A25" s="6" t="s">
        <v>353</v>
      </c>
      <c r="B25" s="7" t="s">
        <v>354</v>
      </c>
      <c r="C25" s="7" t="s">
        <v>348</v>
      </c>
      <c r="D25" s="7"/>
    </row>
    <row r="26" spans="1:4" ht="60" customHeight="1" x14ac:dyDescent="0.25">
      <c r="A26" s="6" t="s">
        <v>355</v>
      </c>
      <c r="B26" s="7" t="s">
        <v>356</v>
      </c>
      <c r="C26" s="7" t="s">
        <v>348</v>
      </c>
      <c r="D26" s="7"/>
    </row>
    <row r="27" spans="1:4" ht="60" customHeight="1" x14ac:dyDescent="0.25">
      <c r="A27" s="6" t="s">
        <v>357</v>
      </c>
      <c r="B27" s="7" t="s">
        <v>358</v>
      </c>
      <c r="C27" s="7" t="s">
        <v>359</v>
      </c>
      <c r="D27" s="7"/>
    </row>
    <row r="28" spans="1:4" ht="60" customHeight="1" x14ac:dyDescent="0.25">
      <c r="A28" s="6" t="s">
        <v>360</v>
      </c>
      <c r="B28" s="7" t="s">
        <v>361</v>
      </c>
      <c r="C28" s="7" t="s">
        <v>362</v>
      </c>
      <c r="D28" s="7"/>
    </row>
    <row r="29" spans="1:4" ht="60" customHeight="1" x14ac:dyDescent="0.25">
      <c r="A29" s="6" t="s">
        <v>363</v>
      </c>
      <c r="B29" s="7" t="s">
        <v>364</v>
      </c>
      <c r="C29" s="7" t="s">
        <v>365</v>
      </c>
      <c r="D29" s="7"/>
    </row>
    <row r="30" spans="1:4" ht="60" customHeight="1" x14ac:dyDescent="0.25">
      <c r="A30" s="6" t="s">
        <v>366</v>
      </c>
      <c r="B30" s="7" t="s">
        <v>367</v>
      </c>
      <c r="C30" s="7" t="s">
        <v>365</v>
      </c>
      <c r="D30" s="7"/>
    </row>
    <row r="31" spans="1:4" ht="60" customHeight="1" x14ac:dyDescent="0.25">
      <c r="A31" s="6" t="s">
        <v>368</v>
      </c>
      <c r="B31" s="7" t="s">
        <v>369</v>
      </c>
      <c r="C31" s="7" t="s">
        <v>370</v>
      </c>
      <c r="D31" s="7"/>
    </row>
    <row r="32" spans="1:4" ht="26.1" customHeight="1" x14ac:dyDescent="0.25">
      <c r="A32" s="56" t="s">
        <v>371</v>
      </c>
      <c r="B32" s="52"/>
      <c r="C32" s="52"/>
      <c r="D32" s="52"/>
    </row>
  </sheetData>
  <mergeCells count="5">
    <mergeCell ref="A15:D15"/>
    <mergeCell ref="A16:D16"/>
    <mergeCell ref="A32:D32"/>
    <mergeCell ref="A13:D13"/>
    <mergeCell ref="A14:D1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8C99"/>
  </sheetPr>
  <dimension ref="A1:F25"/>
  <sheetViews>
    <sheetView showGridLines="0" zoomScale="90" workbookViewId="0"/>
  </sheetViews>
  <sheetFormatPr defaultRowHeight="15" x14ac:dyDescent="0.25"/>
  <cols>
    <col min="1" max="2" width="30" customWidth="1"/>
    <col min="3" max="4" width="50" customWidth="1"/>
    <col min="5" max="5" width="16" customWidth="1"/>
    <col min="6" max="6" width="40" customWidth="1"/>
  </cols>
  <sheetData>
    <row r="1" spans="1:6" ht="26.1" customHeight="1" x14ac:dyDescent="0.3">
      <c r="A1" s="1" t="s">
        <v>372</v>
      </c>
    </row>
    <row r="2" spans="1:6" x14ac:dyDescent="0.25">
      <c r="A2" s="2" t="s">
        <v>373</v>
      </c>
    </row>
    <row r="4" spans="1:6" ht="20.100000000000001" customHeight="1" x14ac:dyDescent="0.25">
      <c r="A4" s="3" t="s">
        <v>374</v>
      </c>
      <c r="B4" s="4"/>
      <c r="C4" s="4"/>
      <c r="D4" s="4"/>
      <c r="E4" s="4"/>
      <c r="F4" s="4"/>
    </row>
    <row r="5" spans="1:6" ht="30" customHeight="1" x14ac:dyDescent="0.25">
      <c r="A5" s="5" t="s">
        <v>296</v>
      </c>
      <c r="B5" s="5" t="s">
        <v>375</v>
      </c>
      <c r="C5" s="5" t="s">
        <v>376</v>
      </c>
      <c r="D5" s="5" t="s">
        <v>377</v>
      </c>
      <c r="E5" s="5"/>
      <c r="F5" s="5"/>
    </row>
    <row r="6" spans="1:6" ht="69.95" customHeight="1" x14ac:dyDescent="0.25">
      <c r="A6" s="6" t="s">
        <v>224</v>
      </c>
      <c r="B6" s="7" t="s">
        <v>378</v>
      </c>
      <c r="C6" s="7" t="s">
        <v>379</v>
      </c>
      <c r="D6" s="53">
        <v>2</v>
      </c>
      <c r="E6" s="7"/>
      <c r="F6" s="7"/>
    </row>
    <row r="7" spans="1:6" ht="69.95" customHeight="1" x14ac:dyDescent="0.25">
      <c r="A7" s="6" t="s">
        <v>225</v>
      </c>
      <c r="B7" s="7" t="s">
        <v>380</v>
      </c>
      <c r="C7" s="7" t="s">
        <v>381</v>
      </c>
      <c r="D7" s="53">
        <v>2</v>
      </c>
      <c r="E7" s="7"/>
      <c r="F7" s="7"/>
    </row>
    <row r="8" spans="1:6" ht="69.95" customHeight="1" x14ac:dyDescent="0.25">
      <c r="A8" s="6" t="s">
        <v>226</v>
      </c>
      <c r="B8" s="7" t="s">
        <v>382</v>
      </c>
      <c r="C8" s="7" t="s">
        <v>383</v>
      </c>
      <c r="D8" s="53">
        <v>4</v>
      </c>
      <c r="E8" s="7"/>
      <c r="F8" s="7"/>
    </row>
    <row r="9" spans="1:6" ht="69.95" customHeight="1" x14ac:dyDescent="0.25">
      <c r="A9" s="6" t="s">
        <v>227</v>
      </c>
      <c r="B9" s="7" t="s">
        <v>384</v>
      </c>
      <c r="C9" s="7" t="s">
        <v>385</v>
      </c>
      <c r="D9" s="53">
        <v>4</v>
      </c>
      <c r="E9" s="7"/>
      <c r="F9" s="7"/>
    </row>
    <row r="10" spans="1:6" ht="69.95" customHeight="1" x14ac:dyDescent="0.25">
      <c r="A10" s="6" t="s">
        <v>228</v>
      </c>
      <c r="B10" s="7" t="s">
        <v>386</v>
      </c>
      <c r="C10" s="7" t="s">
        <v>387</v>
      </c>
      <c r="D10" s="53">
        <v>1</v>
      </c>
      <c r="E10" s="7"/>
      <c r="F10" s="7"/>
    </row>
    <row r="12" spans="1:6" ht="20.100000000000001" customHeight="1" x14ac:dyDescent="0.25">
      <c r="A12" s="3" t="s">
        <v>388</v>
      </c>
      <c r="B12" s="4"/>
      <c r="C12" s="4"/>
      <c r="D12" s="4"/>
      <c r="E12" s="4"/>
      <c r="F12" s="4"/>
    </row>
    <row r="13" spans="1:6" ht="30" customHeight="1" x14ac:dyDescent="0.25">
      <c r="A13" s="5" t="s">
        <v>389</v>
      </c>
      <c r="B13" s="5" t="s">
        <v>390</v>
      </c>
      <c r="C13" s="5" t="s">
        <v>391</v>
      </c>
      <c r="D13" s="5" t="s">
        <v>392</v>
      </c>
      <c r="E13" s="5" t="s">
        <v>393</v>
      </c>
      <c r="F13" s="5" t="s">
        <v>394</v>
      </c>
    </row>
    <row r="14" spans="1:6" ht="80.099999999999994" customHeight="1" x14ac:dyDescent="0.25">
      <c r="A14" s="6" t="s">
        <v>395</v>
      </c>
      <c r="B14" s="7" t="s">
        <v>396</v>
      </c>
      <c r="C14" s="7" t="s">
        <v>397</v>
      </c>
      <c r="D14" s="7" t="s">
        <v>110</v>
      </c>
      <c r="E14" s="7" t="s">
        <v>398</v>
      </c>
      <c r="F14" s="7" t="s">
        <v>399</v>
      </c>
    </row>
    <row r="15" spans="1:6" ht="80.099999999999994" customHeight="1" x14ac:dyDescent="0.25">
      <c r="A15" s="6" t="s">
        <v>400</v>
      </c>
      <c r="B15" s="7" t="s">
        <v>401</v>
      </c>
      <c r="C15" s="7" t="s">
        <v>402</v>
      </c>
      <c r="D15" s="7" t="s">
        <v>403</v>
      </c>
      <c r="E15" s="7" t="s">
        <v>404</v>
      </c>
      <c r="F15" s="7" t="s">
        <v>405</v>
      </c>
    </row>
    <row r="16" spans="1:6" ht="80.099999999999994" customHeight="1" x14ac:dyDescent="0.25">
      <c r="A16" s="6" t="s">
        <v>400</v>
      </c>
      <c r="B16" s="7" t="s">
        <v>406</v>
      </c>
      <c r="C16" s="7" t="s">
        <v>407</v>
      </c>
      <c r="D16" s="7" t="s">
        <v>408</v>
      </c>
      <c r="E16" s="7" t="s">
        <v>409</v>
      </c>
      <c r="F16" s="7" t="s">
        <v>410</v>
      </c>
    </row>
    <row r="17" spans="1:6" ht="80.099999999999994" customHeight="1" x14ac:dyDescent="0.25">
      <c r="A17" s="6" t="s">
        <v>411</v>
      </c>
      <c r="B17" s="7" t="s">
        <v>412</v>
      </c>
      <c r="C17" s="7" t="s">
        <v>413</v>
      </c>
      <c r="D17" s="7" t="s">
        <v>414</v>
      </c>
      <c r="E17" s="7" t="s">
        <v>415</v>
      </c>
      <c r="F17" s="7" t="s">
        <v>416</v>
      </c>
    </row>
    <row r="18" spans="1:6" ht="80.099999999999994" customHeight="1" x14ac:dyDescent="0.25">
      <c r="A18" s="6" t="s">
        <v>417</v>
      </c>
      <c r="B18" s="7" t="s">
        <v>418</v>
      </c>
      <c r="C18" s="7" t="s">
        <v>419</v>
      </c>
      <c r="D18" s="7" t="s">
        <v>420</v>
      </c>
      <c r="E18" s="7" t="s">
        <v>421</v>
      </c>
      <c r="F18" s="7" t="s">
        <v>422</v>
      </c>
    </row>
    <row r="19" spans="1:6" ht="80.099999999999994" customHeight="1" x14ac:dyDescent="0.25">
      <c r="A19" s="6" t="s">
        <v>423</v>
      </c>
      <c r="B19" s="7" t="s">
        <v>424</v>
      </c>
      <c r="C19" s="7" t="s">
        <v>425</v>
      </c>
      <c r="D19" s="7" t="s">
        <v>426</v>
      </c>
      <c r="E19" s="7" t="s">
        <v>421</v>
      </c>
      <c r="F19" s="7" t="s">
        <v>427</v>
      </c>
    </row>
    <row r="20" spans="1:6" ht="80.099999999999994" customHeight="1" x14ac:dyDescent="0.25">
      <c r="A20" s="6" t="s">
        <v>428</v>
      </c>
      <c r="B20" s="7" t="s">
        <v>429</v>
      </c>
      <c r="C20" s="7" t="s">
        <v>430</v>
      </c>
      <c r="D20" s="7" t="s">
        <v>431</v>
      </c>
      <c r="E20" s="7" t="s">
        <v>432</v>
      </c>
      <c r="F20" s="7" t="s">
        <v>433</v>
      </c>
    </row>
    <row r="21" spans="1:6" ht="80.099999999999994" customHeight="1" x14ac:dyDescent="0.25">
      <c r="A21" s="6" t="s">
        <v>434</v>
      </c>
      <c r="B21" s="7" t="s">
        <v>435</v>
      </c>
      <c r="C21" s="7" t="s">
        <v>436</v>
      </c>
      <c r="D21" s="7" t="s">
        <v>437</v>
      </c>
      <c r="E21" s="7" t="s">
        <v>438</v>
      </c>
      <c r="F21" s="7" t="s">
        <v>439</v>
      </c>
    </row>
    <row r="22" spans="1:6" ht="80.099999999999994" customHeight="1" x14ac:dyDescent="0.25">
      <c r="A22" s="6" t="s">
        <v>434</v>
      </c>
      <c r="B22" s="7" t="s">
        <v>440</v>
      </c>
      <c r="C22" s="7" t="s">
        <v>441</v>
      </c>
      <c r="D22" s="7" t="s">
        <v>110</v>
      </c>
      <c r="E22" s="7" t="s">
        <v>432</v>
      </c>
      <c r="F22" s="7" t="s">
        <v>442</v>
      </c>
    </row>
    <row r="23" spans="1:6" ht="80.099999999999994" customHeight="1" x14ac:dyDescent="0.25">
      <c r="A23" s="6" t="s">
        <v>443</v>
      </c>
      <c r="B23" s="7" t="s">
        <v>444</v>
      </c>
      <c r="C23" s="7" t="s">
        <v>445</v>
      </c>
      <c r="D23" s="7" t="s">
        <v>110</v>
      </c>
      <c r="E23" s="7" t="s">
        <v>446</v>
      </c>
      <c r="F23" s="7" t="s">
        <v>447</v>
      </c>
    </row>
    <row r="24" spans="1:6" ht="80.099999999999994" customHeight="1" x14ac:dyDescent="0.25">
      <c r="A24" s="6" t="s">
        <v>448</v>
      </c>
      <c r="B24" s="7" t="s">
        <v>449</v>
      </c>
      <c r="C24" s="7" t="s">
        <v>450</v>
      </c>
      <c r="D24" s="7" t="s">
        <v>110</v>
      </c>
      <c r="E24" s="7" t="s">
        <v>432</v>
      </c>
      <c r="F24" s="7" t="s">
        <v>451</v>
      </c>
    </row>
    <row r="25" spans="1:6" ht="26.1" customHeight="1" x14ac:dyDescent="0.25">
      <c r="A25" s="56" t="s">
        <v>452</v>
      </c>
      <c r="B25" s="52"/>
      <c r="C25" s="52"/>
      <c r="D25" s="52"/>
      <c r="E25" s="52"/>
      <c r="F25" s="52"/>
    </row>
  </sheetData>
  <mergeCells count="6">
    <mergeCell ref="A25:F25"/>
    <mergeCell ref="D9"/>
    <mergeCell ref="D7"/>
    <mergeCell ref="D8"/>
    <mergeCell ref="D6"/>
    <mergeCell ref="D1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E8C99"/>
  </sheetPr>
  <dimension ref="A1:I37"/>
  <sheetViews>
    <sheetView showGridLines="0" zoomScale="90" workbookViewId="0"/>
  </sheetViews>
  <sheetFormatPr defaultRowHeight="15" x14ac:dyDescent="0.25"/>
  <cols>
    <col min="1" max="1" width="32" customWidth="1"/>
    <col min="2" max="2" width="34" customWidth="1"/>
    <col min="3" max="3" width="40" customWidth="1"/>
    <col min="4" max="4" width="50" customWidth="1"/>
    <col min="5" max="5" width="12" customWidth="1"/>
    <col min="6" max="6" width="18" customWidth="1"/>
    <col min="7" max="7" width="12" customWidth="1"/>
    <col min="8" max="8" width="22" customWidth="1"/>
    <col min="9" max="9" width="16" customWidth="1"/>
  </cols>
  <sheetData>
    <row r="1" spans="1:9" ht="26.1" customHeight="1" x14ac:dyDescent="0.3">
      <c r="A1" s="1" t="s">
        <v>453</v>
      </c>
    </row>
    <row r="2" spans="1:9" x14ac:dyDescent="0.25">
      <c r="A2" s="2" t="s">
        <v>454</v>
      </c>
    </row>
    <row r="4" spans="1:9" ht="20.100000000000001" customHeight="1" x14ac:dyDescent="0.25">
      <c r="A4" s="3" t="s">
        <v>455</v>
      </c>
      <c r="B4" s="4"/>
      <c r="C4" s="4"/>
      <c r="D4" s="4"/>
      <c r="E4" s="4"/>
      <c r="F4" s="4"/>
      <c r="G4" s="4"/>
      <c r="H4" s="4"/>
      <c r="I4" s="4"/>
    </row>
    <row r="5" spans="1:9" ht="30" customHeight="1" x14ac:dyDescent="0.25">
      <c r="A5" s="5" t="s">
        <v>456</v>
      </c>
      <c r="B5" s="5" t="s">
        <v>457</v>
      </c>
      <c r="C5" s="5" t="s">
        <v>458</v>
      </c>
      <c r="D5" s="5" t="s">
        <v>459</v>
      </c>
      <c r="E5" s="5" t="s">
        <v>460</v>
      </c>
      <c r="F5" s="5" t="s">
        <v>461</v>
      </c>
      <c r="G5" s="5" t="s">
        <v>462</v>
      </c>
      <c r="H5" s="5" t="s">
        <v>463</v>
      </c>
      <c r="I5" s="5" t="s">
        <v>464</v>
      </c>
    </row>
    <row r="6" spans="1:9" ht="72" customHeight="1" x14ac:dyDescent="0.25">
      <c r="A6" s="6" t="s">
        <v>411</v>
      </c>
      <c r="B6" s="7" t="s">
        <v>465</v>
      </c>
      <c r="C6" s="7" t="s">
        <v>466</v>
      </c>
      <c r="D6" s="7" t="s">
        <v>467</v>
      </c>
      <c r="E6" s="7" t="s">
        <v>468</v>
      </c>
      <c r="F6" s="7" t="s">
        <v>469</v>
      </c>
      <c r="G6" s="7" t="s">
        <v>421</v>
      </c>
      <c r="H6" s="7" t="s">
        <v>470</v>
      </c>
      <c r="I6" s="7" t="s">
        <v>471</v>
      </c>
    </row>
    <row r="7" spans="1:9" ht="72" customHeight="1" x14ac:dyDescent="0.25">
      <c r="A7" s="6" t="s">
        <v>400</v>
      </c>
      <c r="B7" s="7" t="s">
        <v>472</v>
      </c>
      <c r="C7" s="7" t="s">
        <v>473</v>
      </c>
      <c r="D7" s="7" t="s">
        <v>474</v>
      </c>
      <c r="E7" s="7" t="s">
        <v>475</v>
      </c>
      <c r="F7" s="7" t="s">
        <v>476</v>
      </c>
      <c r="G7" s="7" t="s">
        <v>404</v>
      </c>
      <c r="H7" s="7" t="s">
        <v>477</v>
      </c>
      <c r="I7" s="7" t="s">
        <v>110</v>
      </c>
    </row>
    <row r="8" spans="1:9" ht="72" customHeight="1" x14ac:dyDescent="0.25">
      <c r="A8" s="6" t="s">
        <v>428</v>
      </c>
      <c r="B8" s="7" t="s">
        <v>478</v>
      </c>
      <c r="C8" s="7" t="s">
        <v>479</v>
      </c>
      <c r="D8" s="7" t="s">
        <v>480</v>
      </c>
      <c r="E8" s="7" t="s">
        <v>481</v>
      </c>
      <c r="F8" s="7" t="s">
        <v>482</v>
      </c>
      <c r="G8" s="7" t="s">
        <v>432</v>
      </c>
      <c r="H8" s="7" t="s">
        <v>483</v>
      </c>
      <c r="I8" s="7" t="s">
        <v>484</v>
      </c>
    </row>
    <row r="9" spans="1:9" ht="72" customHeight="1" x14ac:dyDescent="0.25">
      <c r="A9" s="6" t="s">
        <v>417</v>
      </c>
      <c r="B9" s="7" t="s">
        <v>485</v>
      </c>
      <c r="C9" s="7" t="s">
        <v>486</v>
      </c>
      <c r="D9" s="7" t="s">
        <v>487</v>
      </c>
      <c r="E9" s="7" t="s">
        <v>468</v>
      </c>
      <c r="F9" s="7" t="s">
        <v>488</v>
      </c>
      <c r="G9" s="7" t="s">
        <v>421</v>
      </c>
      <c r="H9" s="7" t="s">
        <v>489</v>
      </c>
      <c r="I9" s="7" t="s">
        <v>490</v>
      </c>
    </row>
    <row r="10" spans="1:9" ht="72" customHeight="1" x14ac:dyDescent="0.25">
      <c r="A10" s="6" t="s">
        <v>423</v>
      </c>
      <c r="B10" s="7" t="s">
        <v>491</v>
      </c>
      <c r="C10" s="7" t="s">
        <v>492</v>
      </c>
      <c r="D10" s="7" t="s">
        <v>493</v>
      </c>
      <c r="E10" s="7" t="s">
        <v>494</v>
      </c>
      <c r="F10" s="7" t="s">
        <v>495</v>
      </c>
      <c r="G10" s="7" t="s">
        <v>421</v>
      </c>
      <c r="H10" s="7" t="s">
        <v>496</v>
      </c>
      <c r="I10" s="7" t="s">
        <v>497</v>
      </c>
    </row>
    <row r="11" spans="1:9" ht="72" customHeight="1" x14ac:dyDescent="0.25">
      <c r="A11" s="6" t="s">
        <v>434</v>
      </c>
      <c r="B11" s="7" t="s">
        <v>498</v>
      </c>
      <c r="C11" s="7" t="s">
        <v>499</v>
      </c>
      <c r="D11" s="7" t="s">
        <v>500</v>
      </c>
      <c r="E11" s="7" t="s">
        <v>501</v>
      </c>
      <c r="F11" s="7" t="s">
        <v>502</v>
      </c>
      <c r="G11" s="7" t="s">
        <v>438</v>
      </c>
      <c r="H11" s="7" t="s">
        <v>503</v>
      </c>
      <c r="I11" s="7" t="s">
        <v>110</v>
      </c>
    </row>
    <row r="12" spans="1:9" ht="72" customHeight="1" x14ac:dyDescent="0.25">
      <c r="A12" s="6" t="s">
        <v>395</v>
      </c>
      <c r="B12" s="7" t="s">
        <v>504</v>
      </c>
      <c r="C12" s="7" t="s">
        <v>505</v>
      </c>
      <c r="D12" s="7" t="s">
        <v>506</v>
      </c>
      <c r="E12" s="7" t="s">
        <v>507</v>
      </c>
      <c r="F12" s="7" t="s">
        <v>495</v>
      </c>
      <c r="G12" s="7" t="s">
        <v>432</v>
      </c>
      <c r="H12" s="7" t="s">
        <v>508</v>
      </c>
      <c r="I12" s="7" t="s">
        <v>110</v>
      </c>
    </row>
    <row r="13" spans="1:9" ht="72" customHeight="1" x14ac:dyDescent="0.25">
      <c r="A13" s="6" t="s">
        <v>509</v>
      </c>
      <c r="B13" s="7" t="s">
        <v>510</v>
      </c>
      <c r="C13" s="7" t="s">
        <v>511</v>
      </c>
      <c r="D13" s="7" t="s">
        <v>512</v>
      </c>
      <c r="E13" s="7" t="s">
        <v>513</v>
      </c>
      <c r="F13" s="7" t="s">
        <v>495</v>
      </c>
      <c r="G13" s="7" t="s">
        <v>514</v>
      </c>
      <c r="H13" s="7" t="s">
        <v>515</v>
      </c>
      <c r="I13" s="7" t="s">
        <v>110</v>
      </c>
    </row>
    <row r="14" spans="1:9" ht="72" customHeight="1" x14ac:dyDescent="0.25">
      <c r="A14" s="6" t="s">
        <v>448</v>
      </c>
      <c r="B14" s="7" t="s">
        <v>516</v>
      </c>
      <c r="C14" s="7" t="s">
        <v>517</v>
      </c>
      <c r="D14" s="7" t="s">
        <v>518</v>
      </c>
      <c r="E14" s="7" t="s">
        <v>513</v>
      </c>
      <c r="F14" s="7" t="s">
        <v>495</v>
      </c>
      <c r="G14" s="7" t="s">
        <v>432</v>
      </c>
      <c r="H14" s="7" t="s">
        <v>519</v>
      </c>
      <c r="I14" s="7" t="s">
        <v>110</v>
      </c>
    </row>
    <row r="15" spans="1:9" ht="72" customHeight="1" x14ac:dyDescent="0.25">
      <c r="A15" s="6" t="s">
        <v>443</v>
      </c>
      <c r="B15" s="7" t="s">
        <v>520</v>
      </c>
      <c r="C15" s="7" t="s">
        <v>521</v>
      </c>
      <c r="D15" s="7" t="s">
        <v>522</v>
      </c>
      <c r="E15" s="7" t="s">
        <v>523</v>
      </c>
      <c r="F15" s="7" t="s">
        <v>495</v>
      </c>
      <c r="G15" s="7" t="s">
        <v>524</v>
      </c>
      <c r="H15" s="7" t="s">
        <v>525</v>
      </c>
      <c r="I15" s="7" t="s">
        <v>526</v>
      </c>
    </row>
    <row r="17" spans="1:9" ht="20.100000000000001" customHeight="1" x14ac:dyDescent="0.25">
      <c r="A17" s="3" t="s">
        <v>527</v>
      </c>
      <c r="B17" s="4"/>
      <c r="C17" s="4"/>
      <c r="D17" s="4"/>
      <c r="E17" s="4"/>
      <c r="F17" s="4"/>
      <c r="G17" s="4"/>
      <c r="H17" s="4"/>
      <c r="I17" s="4"/>
    </row>
    <row r="18" spans="1:9" ht="30" customHeight="1" x14ac:dyDescent="0.25">
      <c r="A18" s="5" t="s">
        <v>456</v>
      </c>
      <c r="B18" s="5" t="s">
        <v>224</v>
      </c>
      <c r="C18" s="5" t="s">
        <v>225</v>
      </c>
      <c r="D18" s="5" t="s">
        <v>226</v>
      </c>
      <c r="E18" s="5" t="s">
        <v>227</v>
      </c>
      <c r="F18" s="5" t="s">
        <v>228</v>
      </c>
      <c r="G18" s="5" t="s">
        <v>528</v>
      </c>
      <c r="H18" s="5" t="s">
        <v>101</v>
      </c>
      <c r="I18" s="5" t="s">
        <v>529</v>
      </c>
    </row>
    <row r="19" spans="1:9" ht="25.5" x14ac:dyDescent="0.25">
      <c r="A19" s="6" t="s">
        <v>411</v>
      </c>
      <c r="B19" s="12">
        <f>COUNTIFS('Comment Data'!$A:$A,"pt_city",'Comment Data'!$C:$C,"Potential patient (symptom / service question)")</f>
        <v>1</v>
      </c>
      <c r="C19" s="12">
        <f>COUNTIFS('Comment Data'!$A:$A,"handsofhopeptny",'Comment Data'!$C:$C,"Potential patient (symptom / service question)")</f>
        <v>0</v>
      </c>
      <c r="D19" s="12">
        <f>COUNTIFS('Comment Data'!$A:$A,"jagphysicaltherapy",'Comment Data'!$C:$C,"Potential patient (symptom / service question)")</f>
        <v>12</v>
      </c>
      <c r="E19" s="12">
        <f>COUNTIFS('Comment Data'!$A:$A,"spearptnyc",'Comment Data'!$C:$C,"Potential patient (symptom / service question)")</f>
        <v>0</v>
      </c>
      <c r="F19" s="12">
        <f>COUNTIFS('Comment Data'!$A:$A,"professionalphysicaltherapy",'Comment Data'!$C:$C,"Potential patient (symptom / service question)")</f>
        <v>1</v>
      </c>
      <c r="G19" s="12">
        <f t="shared" ref="G19:G28" si="0">SUM(B19:F19)</f>
        <v>14</v>
      </c>
      <c r="H19" s="18">
        <f t="shared" ref="H19:H28" si="1">G19/SUM($G$19:$G$28)</f>
        <v>2.9661016949152543E-2</v>
      </c>
      <c r="I19" s="12">
        <f>COUNTIFS('Comment Data'!$C:$C,"Potential patient (symptom / service question)",'Comment Data'!$E:$E,"Yes")</f>
        <v>3</v>
      </c>
    </row>
    <row r="20" spans="1:9" ht="25.5" x14ac:dyDescent="0.25">
      <c r="A20" s="6" t="s">
        <v>400</v>
      </c>
      <c r="B20" s="12">
        <f>COUNTIFS('Comment Data'!$A:$A,"pt_city",'Comment Data'!$C:$C,"Existing patient (testimonial / follow-up)")</f>
        <v>3</v>
      </c>
      <c r="C20" s="12">
        <f>COUNTIFS('Comment Data'!$A:$A,"handsofhopeptny",'Comment Data'!$C:$C,"Existing patient (testimonial / follow-up)")</f>
        <v>0</v>
      </c>
      <c r="D20" s="12">
        <f>COUNTIFS('Comment Data'!$A:$A,"jagphysicaltherapy",'Comment Data'!$C:$C,"Existing patient (testimonial / follow-up)")</f>
        <v>1</v>
      </c>
      <c r="E20" s="12">
        <f>COUNTIFS('Comment Data'!$A:$A,"spearptnyc",'Comment Data'!$C:$C,"Existing patient (testimonial / follow-up)")</f>
        <v>3</v>
      </c>
      <c r="F20" s="12">
        <f>COUNTIFS('Comment Data'!$A:$A,"professionalphysicaltherapy",'Comment Data'!$C:$C,"Existing patient (testimonial / follow-up)")</f>
        <v>0</v>
      </c>
      <c r="G20" s="12">
        <f t="shared" si="0"/>
        <v>7</v>
      </c>
      <c r="H20" s="18">
        <f t="shared" si="1"/>
        <v>1.4830508474576272E-2</v>
      </c>
      <c r="I20" s="12">
        <f>COUNTIFS('Comment Data'!$C:$C,"Existing patient (testimonial / follow-up)",'Comment Data'!$E:$E,"Yes")</f>
        <v>2</v>
      </c>
    </row>
    <row r="21" spans="1:9" x14ac:dyDescent="0.25">
      <c r="A21" s="6" t="s">
        <v>428</v>
      </c>
      <c r="B21" s="12">
        <f>COUNTIFS('Comment Data'!$A:$A,"pt_city",'Comment Data'!$C:$C,"Job seeker / career")</f>
        <v>0</v>
      </c>
      <c r="C21" s="12">
        <f>COUNTIFS('Comment Data'!$A:$A,"handsofhopeptny",'Comment Data'!$C:$C,"Job seeker / career")</f>
        <v>0</v>
      </c>
      <c r="D21" s="12">
        <f>COUNTIFS('Comment Data'!$A:$A,"jagphysicaltherapy",'Comment Data'!$C:$C,"Job seeker / career")</f>
        <v>0</v>
      </c>
      <c r="E21" s="12">
        <f>COUNTIFS('Comment Data'!$A:$A,"spearptnyc",'Comment Data'!$C:$C,"Job seeker / career")</f>
        <v>0</v>
      </c>
      <c r="F21" s="12">
        <f>COUNTIFS('Comment Data'!$A:$A,"professionalphysicaltherapy",'Comment Data'!$C:$C,"Job seeker / career")</f>
        <v>0</v>
      </c>
      <c r="G21" s="12">
        <f t="shared" si="0"/>
        <v>0</v>
      </c>
      <c r="H21" s="18">
        <f t="shared" si="1"/>
        <v>0</v>
      </c>
      <c r="I21" s="12">
        <f>COUNTIFS('Comment Data'!$C:$C,"Job seeker / career",'Comment Data'!$E:$E,"Yes")</f>
        <v>0</v>
      </c>
    </row>
    <row r="22" spans="1:9" ht="25.5" x14ac:dyDescent="0.25">
      <c r="A22" s="6" t="s">
        <v>417</v>
      </c>
      <c r="B22" s="12">
        <f>COUNTIFS('Comment Data'!$A:$A,"pt_city",'Comment Data'!$C:$C,"Insurance / pricing / appointments")</f>
        <v>0</v>
      </c>
      <c r="C22" s="12">
        <f>COUNTIFS('Comment Data'!$A:$A,"handsofhopeptny",'Comment Data'!$C:$C,"Insurance / pricing / appointments")</f>
        <v>0</v>
      </c>
      <c r="D22" s="12">
        <f>COUNTIFS('Comment Data'!$A:$A,"jagphysicaltherapy",'Comment Data'!$C:$C,"Insurance / pricing / appointments")</f>
        <v>1</v>
      </c>
      <c r="E22" s="12">
        <f>COUNTIFS('Comment Data'!$A:$A,"spearptnyc",'Comment Data'!$C:$C,"Insurance / pricing / appointments")</f>
        <v>0</v>
      </c>
      <c r="F22" s="12">
        <f>COUNTIFS('Comment Data'!$A:$A,"professionalphysicaltherapy",'Comment Data'!$C:$C,"Insurance / pricing / appointments")</f>
        <v>0</v>
      </c>
      <c r="G22" s="12">
        <f t="shared" si="0"/>
        <v>1</v>
      </c>
      <c r="H22" s="18">
        <f t="shared" si="1"/>
        <v>2.1186440677966102E-3</v>
      </c>
      <c r="I22" s="12">
        <f>COUNTIFS('Comment Data'!$C:$C,"Insurance / pricing / appointments",'Comment Data'!$E:$E,"Yes")</f>
        <v>0</v>
      </c>
    </row>
    <row r="23" spans="1:9" x14ac:dyDescent="0.25">
      <c r="A23" s="6" t="s">
        <v>423</v>
      </c>
      <c r="B23" s="12">
        <f>COUNTIFS('Comment Data'!$A:$A,"pt_city",'Comment Data'!$C:$C,"Location / contact info")</f>
        <v>3</v>
      </c>
      <c r="C23" s="12">
        <f>COUNTIFS('Comment Data'!$A:$A,"handsofhopeptny",'Comment Data'!$C:$C,"Location / contact info")</f>
        <v>2</v>
      </c>
      <c r="D23" s="12">
        <f>COUNTIFS('Comment Data'!$A:$A,"jagphysicaltherapy",'Comment Data'!$C:$C,"Location / contact info")</f>
        <v>0</v>
      </c>
      <c r="E23" s="12">
        <f>COUNTIFS('Comment Data'!$A:$A,"spearptnyc",'Comment Data'!$C:$C,"Location / contact info")</f>
        <v>0</v>
      </c>
      <c r="F23" s="12">
        <f>COUNTIFS('Comment Data'!$A:$A,"professionalphysicaltherapy",'Comment Data'!$C:$C,"Location / contact info")</f>
        <v>0</v>
      </c>
      <c r="G23" s="12">
        <f t="shared" si="0"/>
        <v>5</v>
      </c>
      <c r="H23" s="18">
        <f t="shared" si="1"/>
        <v>1.059322033898305E-2</v>
      </c>
      <c r="I23" s="12">
        <f>COUNTIFS('Comment Data'!$C:$C,"Location / contact info",'Comment Data'!$E:$E,"Yes")</f>
        <v>2</v>
      </c>
    </row>
    <row r="24" spans="1:9" x14ac:dyDescent="0.25">
      <c r="A24" s="6" t="s">
        <v>434</v>
      </c>
      <c r="B24" s="12">
        <f>COUNTIFS('Comment Data'!$A:$A,"pt_city",'Comment Data'!$C:$C,"Complaint / negative feedback")</f>
        <v>0</v>
      </c>
      <c r="C24" s="12">
        <f>COUNTIFS('Comment Data'!$A:$A,"handsofhopeptny",'Comment Data'!$C:$C,"Complaint / negative feedback")</f>
        <v>1</v>
      </c>
      <c r="D24" s="12">
        <f>COUNTIFS('Comment Data'!$A:$A,"jagphysicaltherapy",'Comment Data'!$C:$C,"Complaint / negative feedback")</f>
        <v>7</v>
      </c>
      <c r="E24" s="12">
        <f>COUNTIFS('Comment Data'!$A:$A,"spearptnyc",'Comment Data'!$C:$C,"Complaint / negative feedback")</f>
        <v>0</v>
      </c>
      <c r="F24" s="12">
        <f>COUNTIFS('Comment Data'!$A:$A,"professionalphysicaltherapy",'Comment Data'!$C:$C,"Complaint / negative feedback")</f>
        <v>0</v>
      </c>
      <c r="G24" s="12">
        <f t="shared" si="0"/>
        <v>8</v>
      </c>
      <c r="H24" s="18">
        <f t="shared" si="1"/>
        <v>1.6949152542372881E-2</v>
      </c>
      <c r="I24" s="12">
        <f>COUNTIFS('Comment Data'!$C:$C,"Complaint / negative feedback",'Comment Data'!$E:$E,"Yes")</f>
        <v>1</v>
      </c>
    </row>
    <row r="25" spans="1:9" ht="25.5" x14ac:dyDescent="0.25">
      <c r="A25" s="6" t="s">
        <v>395</v>
      </c>
      <c r="B25" s="12">
        <f>COUNTIFS('Comment Data'!$A:$A,"pt_city",'Comment Data'!$C:$C,"General – praise / positive reaction")</f>
        <v>4</v>
      </c>
      <c r="C25" s="12">
        <f>COUNTIFS('Comment Data'!$A:$A,"handsofhopeptny",'Comment Data'!$C:$C,"General – praise / positive reaction")</f>
        <v>4</v>
      </c>
      <c r="D25" s="12">
        <f>COUNTIFS('Comment Data'!$A:$A,"jagphysicaltherapy",'Comment Data'!$C:$C,"General – praise / positive reaction")</f>
        <v>68</v>
      </c>
      <c r="E25" s="12">
        <f>COUNTIFS('Comment Data'!$A:$A,"spearptnyc",'Comment Data'!$C:$C,"General – praise / positive reaction")</f>
        <v>71</v>
      </c>
      <c r="F25" s="12">
        <f>COUNTIFS('Comment Data'!$A:$A,"professionalphysicaltherapy",'Comment Data'!$C:$C,"General – praise / positive reaction")</f>
        <v>38</v>
      </c>
      <c r="G25" s="12">
        <f t="shared" si="0"/>
        <v>185</v>
      </c>
      <c r="H25" s="18">
        <f t="shared" si="1"/>
        <v>0.39194915254237289</v>
      </c>
      <c r="I25" s="12">
        <f>COUNTIFS('Comment Data'!$C:$C,"General – praise / positive reaction",'Comment Data'!$E:$E,"Yes")</f>
        <v>7</v>
      </c>
    </row>
    <row r="26" spans="1:9" x14ac:dyDescent="0.25">
      <c r="A26" s="6" t="s">
        <v>509</v>
      </c>
      <c r="B26" s="12">
        <f>COUNTIFS('Comment Data'!$A:$A,"pt_city",'Comment Data'!$C:$C,"General – emoji / reaction")</f>
        <v>15</v>
      </c>
      <c r="C26" s="12">
        <f>COUNTIFS('Comment Data'!$A:$A,"handsofhopeptny",'Comment Data'!$C:$C,"General – emoji / reaction")</f>
        <v>2</v>
      </c>
      <c r="D26" s="12">
        <f>COUNTIFS('Comment Data'!$A:$A,"jagphysicaltherapy",'Comment Data'!$C:$C,"General – emoji / reaction")</f>
        <v>40</v>
      </c>
      <c r="E26" s="12">
        <f>COUNTIFS('Comment Data'!$A:$A,"spearptnyc",'Comment Data'!$C:$C,"General – emoji / reaction")</f>
        <v>25</v>
      </c>
      <c r="F26" s="12">
        <f>COUNTIFS('Comment Data'!$A:$A,"professionalphysicaltherapy",'Comment Data'!$C:$C,"General – emoji / reaction")</f>
        <v>19</v>
      </c>
      <c r="G26" s="12">
        <f t="shared" si="0"/>
        <v>101</v>
      </c>
      <c r="H26" s="18">
        <f t="shared" si="1"/>
        <v>0.21398305084745764</v>
      </c>
      <c r="I26" s="12">
        <f>COUNTIFS('Comment Data'!$C:$C,"General – emoji / reaction",'Comment Data'!$E:$E,"Yes")</f>
        <v>7</v>
      </c>
    </row>
    <row r="27" spans="1:9" x14ac:dyDescent="0.25">
      <c r="A27" s="6" t="s">
        <v>448</v>
      </c>
      <c r="B27" s="12">
        <f>COUNTIFS('Comment Data'!$A:$A,"pt_city",'Comment Data'!$C:$C,"General – other / banter / tags")</f>
        <v>8</v>
      </c>
      <c r="C27" s="12">
        <f>COUNTIFS('Comment Data'!$A:$A,"handsofhopeptny",'Comment Data'!$C:$C,"General – other / banter / tags")</f>
        <v>2</v>
      </c>
      <c r="D27" s="12">
        <f>COUNTIFS('Comment Data'!$A:$A,"jagphysicaltherapy",'Comment Data'!$C:$C,"General – other / banter / tags")</f>
        <v>48</v>
      </c>
      <c r="E27" s="12">
        <f>COUNTIFS('Comment Data'!$A:$A,"spearptnyc",'Comment Data'!$C:$C,"General – other / banter / tags")</f>
        <v>26</v>
      </c>
      <c r="F27" s="12">
        <f>COUNTIFS('Comment Data'!$A:$A,"professionalphysicaltherapy",'Comment Data'!$C:$C,"General – other / banter / tags")</f>
        <v>56</v>
      </c>
      <c r="G27" s="12">
        <f t="shared" si="0"/>
        <v>140</v>
      </c>
      <c r="H27" s="18">
        <f t="shared" si="1"/>
        <v>0.29661016949152541</v>
      </c>
      <c r="I27" s="12">
        <f>COUNTIFS('Comment Data'!$C:$C,"General – other / banter / tags",'Comment Data'!$E:$E,"Yes")</f>
        <v>3</v>
      </c>
    </row>
    <row r="28" spans="1:9" x14ac:dyDescent="0.25">
      <c r="A28" s="6" t="s">
        <v>443</v>
      </c>
      <c r="B28" s="12">
        <f>COUNTIFS('Comment Data'!$A:$A,"pt_city",'Comment Data'!$C:$C,"Spam / unrelated")</f>
        <v>2</v>
      </c>
      <c r="C28" s="12">
        <f>COUNTIFS('Comment Data'!$A:$A,"handsofhopeptny",'Comment Data'!$C:$C,"Spam / unrelated")</f>
        <v>4</v>
      </c>
      <c r="D28" s="12">
        <f>COUNTIFS('Comment Data'!$A:$A,"jagphysicaltherapy",'Comment Data'!$C:$C,"Spam / unrelated")</f>
        <v>5</v>
      </c>
      <c r="E28" s="12">
        <f>COUNTIFS('Comment Data'!$A:$A,"spearptnyc",'Comment Data'!$C:$C,"Spam / unrelated")</f>
        <v>0</v>
      </c>
      <c r="F28" s="12">
        <f>COUNTIFS('Comment Data'!$A:$A,"professionalphysicaltherapy",'Comment Data'!$C:$C,"Spam / unrelated")</f>
        <v>0</v>
      </c>
      <c r="G28" s="12">
        <f t="shared" si="0"/>
        <v>11</v>
      </c>
      <c r="H28" s="18">
        <f t="shared" si="1"/>
        <v>2.3305084745762712E-2</v>
      </c>
      <c r="I28" s="12">
        <f>COUNTIFS('Comment Data'!$C:$C,"Spam / unrelated",'Comment Data'!$E:$E,"Yes")</f>
        <v>0</v>
      </c>
    </row>
    <row r="29" spans="1:9" x14ac:dyDescent="0.25">
      <c r="A29" s="34" t="s">
        <v>528</v>
      </c>
      <c r="B29" s="24">
        <f t="shared" ref="B29:I29" si="2">SUM(B19:B28)</f>
        <v>36</v>
      </c>
      <c r="C29" s="24">
        <f t="shared" si="2"/>
        <v>15</v>
      </c>
      <c r="D29" s="24">
        <f t="shared" si="2"/>
        <v>182</v>
      </c>
      <c r="E29" s="24">
        <f t="shared" si="2"/>
        <v>125</v>
      </c>
      <c r="F29" s="24">
        <f t="shared" si="2"/>
        <v>114</v>
      </c>
      <c r="G29" s="24">
        <f t="shared" si="2"/>
        <v>472</v>
      </c>
      <c r="H29" s="30">
        <f t="shared" si="2"/>
        <v>1</v>
      </c>
      <c r="I29" s="24">
        <f t="shared" si="2"/>
        <v>25</v>
      </c>
    </row>
    <row r="31" spans="1:9" ht="20.100000000000001" customHeight="1" x14ac:dyDescent="0.25">
      <c r="A31" s="3" t="s">
        <v>530</v>
      </c>
      <c r="B31" s="4"/>
      <c r="C31" s="4"/>
      <c r="D31" s="4"/>
      <c r="E31" s="4"/>
      <c r="F31" s="4"/>
      <c r="G31" s="4"/>
      <c r="H31" s="4"/>
      <c r="I31" s="4"/>
    </row>
    <row r="32" spans="1:9" ht="30" customHeight="1" x14ac:dyDescent="0.25">
      <c r="A32" s="51" t="s">
        <v>531</v>
      </c>
      <c r="B32" s="52"/>
      <c r="C32" s="52"/>
      <c r="D32" s="52"/>
      <c r="E32" s="52"/>
      <c r="F32" s="52"/>
      <c r="G32" s="52"/>
      <c r="H32" s="52"/>
      <c r="I32" s="52"/>
    </row>
    <row r="33" spans="1:9" ht="30" customHeight="1" x14ac:dyDescent="0.25">
      <c r="A33" s="51" t="s">
        <v>532</v>
      </c>
      <c r="B33" s="52"/>
      <c r="C33" s="52"/>
      <c r="D33" s="52"/>
      <c r="E33" s="52"/>
      <c r="F33" s="52"/>
      <c r="G33" s="52"/>
      <c r="H33" s="52"/>
      <c r="I33" s="52"/>
    </row>
    <row r="34" spans="1:9" ht="30" customHeight="1" x14ac:dyDescent="0.25">
      <c r="A34" s="51" t="s">
        <v>533</v>
      </c>
      <c r="B34" s="52"/>
      <c r="C34" s="52"/>
      <c r="D34" s="52"/>
      <c r="E34" s="52"/>
      <c r="F34" s="52"/>
      <c r="G34" s="52"/>
      <c r="H34" s="52"/>
      <c r="I34" s="52"/>
    </row>
    <row r="35" spans="1:9" ht="30" customHeight="1" x14ac:dyDescent="0.25">
      <c r="A35" s="51" t="s">
        <v>534</v>
      </c>
      <c r="B35" s="52"/>
      <c r="C35" s="52"/>
      <c r="D35" s="52"/>
      <c r="E35" s="52"/>
      <c r="F35" s="52"/>
      <c r="G35" s="52"/>
      <c r="H35" s="52"/>
      <c r="I35" s="52"/>
    </row>
    <row r="36" spans="1:9" ht="30" customHeight="1" x14ac:dyDescent="0.25">
      <c r="A36" s="51" t="s">
        <v>535</v>
      </c>
      <c r="B36" s="52"/>
      <c r="C36" s="52"/>
      <c r="D36" s="52"/>
      <c r="E36" s="52"/>
      <c r="F36" s="52"/>
      <c r="G36" s="52"/>
      <c r="H36" s="52"/>
      <c r="I36" s="52"/>
    </row>
    <row r="37" spans="1:9" ht="26.1" customHeight="1" x14ac:dyDescent="0.25">
      <c r="A37" s="56" t="s">
        <v>536</v>
      </c>
      <c r="B37" s="52"/>
      <c r="C37" s="52"/>
      <c r="D37" s="52"/>
      <c r="E37" s="52"/>
      <c r="F37" s="52"/>
      <c r="G37" s="52"/>
      <c r="H37" s="52"/>
      <c r="I37" s="52"/>
    </row>
  </sheetData>
  <mergeCells count="6">
    <mergeCell ref="A33:I33"/>
    <mergeCell ref="A37:I37"/>
    <mergeCell ref="A32:I32"/>
    <mergeCell ref="A36:I36"/>
    <mergeCell ref="A34:I34"/>
    <mergeCell ref="A35:I3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E8C99"/>
  </sheetPr>
  <dimension ref="A1:F51"/>
  <sheetViews>
    <sheetView showGridLines="0" zoomScale="90" workbookViewId="0"/>
  </sheetViews>
  <sheetFormatPr defaultRowHeight="15" x14ac:dyDescent="0.25"/>
  <cols>
    <col min="1" max="1" width="34" customWidth="1"/>
    <col min="2" max="6" width="18" customWidth="1"/>
  </cols>
  <sheetData>
    <row r="1" spans="1:6" ht="26.1" customHeight="1" x14ac:dyDescent="0.3">
      <c r="A1" s="1" t="s">
        <v>537</v>
      </c>
    </row>
    <row r="2" spans="1:6" x14ac:dyDescent="0.25">
      <c r="A2" s="2" t="s">
        <v>538</v>
      </c>
    </row>
    <row r="4" spans="1:6" ht="20.100000000000001" customHeight="1" x14ac:dyDescent="0.25">
      <c r="A4" s="3" t="s">
        <v>539</v>
      </c>
      <c r="B4" s="4"/>
      <c r="C4" s="4"/>
      <c r="D4" s="4"/>
      <c r="E4" s="4"/>
      <c r="F4" s="4"/>
    </row>
    <row r="5" spans="1:6" ht="30" customHeight="1" x14ac:dyDescent="0.25">
      <c r="A5" s="5" t="s">
        <v>99</v>
      </c>
      <c r="B5" s="5" t="s">
        <v>224</v>
      </c>
      <c r="C5" s="5" t="s">
        <v>225</v>
      </c>
      <c r="D5" s="5" t="s">
        <v>226</v>
      </c>
      <c r="E5" s="5" t="s">
        <v>227</v>
      </c>
      <c r="F5" s="5" t="s">
        <v>228</v>
      </c>
    </row>
    <row r="6" spans="1:6" x14ac:dyDescent="0.25">
      <c r="A6" s="6" t="s">
        <v>108</v>
      </c>
      <c r="B6" s="18">
        <f>COUNTIFS('Post Data'!$A:$A,"pt_city",'Post Data'!$G:$G,"Reel / video")/COUNTIF('Post Data'!$A:$A,"pt_city")</f>
        <v>0.61111111111111116</v>
      </c>
      <c r="C6" s="18">
        <f>COUNTIFS('Post Data'!$A:$A,"handsofhopeptny",'Post Data'!$G:$G,"Reel / video")/COUNTIF('Post Data'!$A:$A,"handsofhopeptny")</f>
        <v>0.13461538461538461</v>
      </c>
      <c r="D6" s="18">
        <f>COUNTIFS('Post Data'!$A:$A,"jagphysicaltherapy",'Post Data'!$G:$G,"Reel / video")/COUNTIF('Post Data'!$A:$A,"jagphysicaltherapy")</f>
        <v>0.89814814814814814</v>
      </c>
      <c r="E6" s="18">
        <f>COUNTIFS('Post Data'!$A:$A,"spearptnyc",'Post Data'!$G:$G,"Reel / video")/COUNTIF('Post Data'!$A:$A,"spearptnyc")</f>
        <v>0.5</v>
      </c>
      <c r="F6" s="18">
        <f>COUNTIFS('Post Data'!$A:$A,"professionalphysicaltherapy",'Post Data'!$G:$G,"Reel / video")/COUNTIF('Post Data'!$A:$A,"professionalphysicaltherapy")</f>
        <v>0.47222222222222221</v>
      </c>
    </row>
    <row r="7" spans="1:6" x14ac:dyDescent="0.25">
      <c r="A7" s="6" t="s">
        <v>109</v>
      </c>
      <c r="B7" s="18">
        <f>COUNTIFS('Post Data'!$A:$A,"pt_city",'Post Data'!$G:$G,"Carousel")/COUNTIF('Post Data'!$A:$A,"pt_city")</f>
        <v>5.5555555555555552E-2</v>
      </c>
      <c r="C7" s="18">
        <f>COUNTIFS('Post Data'!$A:$A,"handsofhopeptny",'Post Data'!$G:$G,"Carousel")/COUNTIF('Post Data'!$A:$A,"handsofhopeptny")</f>
        <v>0.27884615384615385</v>
      </c>
      <c r="D7" s="18">
        <f>COUNTIFS('Post Data'!$A:$A,"jagphysicaltherapy",'Post Data'!$G:$G,"Carousel")/COUNTIF('Post Data'!$A:$A,"jagphysicaltherapy")</f>
        <v>0.10185185185185185</v>
      </c>
      <c r="E7" s="18">
        <f>COUNTIFS('Post Data'!$A:$A,"spearptnyc",'Post Data'!$G:$G,"Carousel")/COUNTIF('Post Data'!$A:$A,"spearptnyc")</f>
        <v>0.23148148148148148</v>
      </c>
      <c r="F7" s="18">
        <f>COUNTIFS('Post Data'!$A:$A,"professionalphysicaltherapy",'Post Data'!$G:$G,"Carousel")/COUNTIF('Post Data'!$A:$A,"professionalphysicaltherapy")</f>
        <v>8.3333333333333329E-2</v>
      </c>
    </row>
    <row r="8" spans="1:6" x14ac:dyDescent="0.25">
      <c r="A8" s="6" t="s">
        <v>111</v>
      </c>
      <c r="B8" s="18">
        <f>COUNTIFS('Post Data'!$A:$A,"pt_city",'Post Data'!$G:$G,"Single image")/COUNTIF('Post Data'!$A:$A,"pt_city")</f>
        <v>0.33333333333333331</v>
      </c>
      <c r="C8" s="18">
        <f>COUNTIFS('Post Data'!$A:$A,"handsofhopeptny",'Post Data'!$G:$G,"Single image")/COUNTIF('Post Data'!$A:$A,"handsofhopeptny")</f>
        <v>0.58653846153846156</v>
      </c>
      <c r="D8" s="18">
        <f>COUNTIFS('Post Data'!$A:$A,"jagphysicaltherapy",'Post Data'!$G:$G,"Single image")/COUNTIF('Post Data'!$A:$A,"jagphysicaltherapy")</f>
        <v>0</v>
      </c>
      <c r="E8" s="18">
        <f>COUNTIFS('Post Data'!$A:$A,"spearptnyc",'Post Data'!$G:$G,"Single image")/COUNTIF('Post Data'!$A:$A,"spearptnyc")</f>
        <v>0.26851851851851855</v>
      </c>
      <c r="F8" s="18">
        <f>COUNTIFS('Post Data'!$A:$A,"professionalphysicaltherapy",'Post Data'!$G:$G,"Single image")/COUNTIF('Post Data'!$A:$A,"professionalphysicaltherapy")</f>
        <v>0.44444444444444442</v>
      </c>
    </row>
    <row r="10" spans="1:6" ht="20.100000000000001" customHeight="1" x14ac:dyDescent="0.25">
      <c r="A10" s="3" t="s">
        <v>540</v>
      </c>
      <c r="B10" s="4"/>
      <c r="C10" s="4"/>
      <c r="D10" s="4"/>
      <c r="E10" s="4"/>
      <c r="F10" s="4"/>
    </row>
    <row r="11" spans="1:6" ht="30" customHeight="1" x14ac:dyDescent="0.25">
      <c r="A11" s="5" t="s">
        <v>99</v>
      </c>
      <c r="B11" s="5" t="s">
        <v>224</v>
      </c>
      <c r="C11" s="5" t="s">
        <v>225</v>
      </c>
      <c r="D11" s="5" t="s">
        <v>226</v>
      </c>
      <c r="E11" s="5" t="s">
        <v>227</v>
      </c>
      <c r="F11" s="5" t="s">
        <v>228</v>
      </c>
    </row>
    <row r="12" spans="1:6" x14ac:dyDescent="0.25">
      <c r="A12" s="6" t="s">
        <v>108</v>
      </c>
      <c r="B12" s="19">
        <v>1.405405405405405</v>
      </c>
      <c r="C12" s="19">
        <v>1.7</v>
      </c>
      <c r="D12" s="19">
        <v>1.049284578696343</v>
      </c>
      <c r="E12" s="19">
        <v>0.79508196721311464</v>
      </c>
      <c r="F12" s="19">
        <v>2</v>
      </c>
    </row>
    <row r="13" spans="1:6" x14ac:dyDescent="0.25">
      <c r="A13" s="6" t="s">
        <v>109</v>
      </c>
      <c r="B13" s="19">
        <v>0.27027027027027029</v>
      </c>
      <c r="C13" s="19">
        <v>1</v>
      </c>
      <c r="D13" s="19">
        <v>0.1112877583465819</v>
      </c>
      <c r="E13" s="19">
        <v>1.950819672131147</v>
      </c>
      <c r="F13" s="19">
        <v>1.3666666666666669</v>
      </c>
    </row>
    <row r="14" spans="1:6" x14ac:dyDescent="0.25">
      <c r="A14" s="6" t="s">
        <v>111</v>
      </c>
      <c r="B14" s="19">
        <v>0.48648648648648651</v>
      </c>
      <c r="C14" s="19">
        <v>0.8</v>
      </c>
      <c r="D14" s="19" t="s">
        <v>110</v>
      </c>
      <c r="E14" s="19">
        <v>0.91803278688524581</v>
      </c>
      <c r="F14" s="19">
        <v>0.4</v>
      </c>
    </row>
    <row r="16" spans="1:6" ht="20.100000000000001" customHeight="1" x14ac:dyDescent="0.25">
      <c r="A16" s="3" t="s">
        <v>541</v>
      </c>
      <c r="B16" s="4"/>
      <c r="C16" s="4"/>
      <c r="D16" s="4"/>
      <c r="E16" s="4"/>
      <c r="F16" s="4"/>
    </row>
    <row r="17" spans="1:6" ht="30" customHeight="1" x14ac:dyDescent="0.25">
      <c r="A17" s="5" t="s">
        <v>113</v>
      </c>
      <c r="B17" s="5" t="s">
        <v>224</v>
      </c>
      <c r="C17" s="5" t="s">
        <v>225</v>
      </c>
      <c r="D17" s="5" t="s">
        <v>226</v>
      </c>
      <c r="E17" s="5" t="s">
        <v>227</v>
      </c>
      <c r="F17" s="5" t="s">
        <v>228</v>
      </c>
    </row>
    <row r="18" spans="1:6" x14ac:dyDescent="0.25">
      <c r="A18" s="6" t="s">
        <v>114</v>
      </c>
      <c r="B18" s="12">
        <f>COUNTIFS('Post Data'!$A:$A,"pt_city",'Post Data'!$H:$H,"Humor / trends &amp; challenges")</f>
        <v>17</v>
      </c>
      <c r="C18" s="12">
        <f>COUNTIFS('Post Data'!$A:$A,"handsofhopeptny",'Post Data'!$H:$H,"Humor / trends &amp; challenges")</f>
        <v>0</v>
      </c>
      <c r="D18" s="12">
        <f>COUNTIFS('Post Data'!$A:$A,"jagphysicaltherapy",'Post Data'!$H:$H,"Humor / trends &amp; challenges")</f>
        <v>19</v>
      </c>
      <c r="E18" s="12">
        <f>COUNTIFS('Post Data'!$A:$A,"spearptnyc",'Post Data'!$H:$H,"Humor / trends &amp; challenges")</f>
        <v>1</v>
      </c>
      <c r="F18" s="12">
        <f>COUNTIFS('Post Data'!$A:$A,"professionalphysicaltherapy",'Post Data'!$H:$H,"Humor / trends &amp; challenges")</f>
        <v>12</v>
      </c>
    </row>
    <row r="19" spans="1:6" x14ac:dyDescent="0.25">
      <c r="A19" s="6" t="s">
        <v>115</v>
      </c>
      <c r="B19" s="12">
        <f>COUNTIFS('Post Data'!$A:$A,"pt_city",'Post Data'!$H:$H,"Hiring / careers")</f>
        <v>1</v>
      </c>
      <c r="C19" s="12">
        <f>COUNTIFS('Post Data'!$A:$A,"handsofhopeptny",'Post Data'!$H:$H,"Hiring / careers")</f>
        <v>0</v>
      </c>
      <c r="D19" s="12">
        <f>COUNTIFS('Post Data'!$A:$A,"jagphysicaltherapy",'Post Data'!$H:$H,"Hiring / careers")</f>
        <v>5</v>
      </c>
      <c r="E19" s="12">
        <f>COUNTIFS('Post Data'!$A:$A,"spearptnyc",'Post Data'!$H:$H,"Hiring / careers")</f>
        <v>8</v>
      </c>
      <c r="F19" s="12">
        <f>COUNTIFS('Post Data'!$A:$A,"professionalphysicaltherapy",'Post Data'!$H:$H,"Hiring / careers")</f>
        <v>4</v>
      </c>
    </row>
    <row r="20" spans="1:6" x14ac:dyDescent="0.25">
      <c r="A20" s="6" t="s">
        <v>542</v>
      </c>
      <c r="B20" s="12">
        <f>COUNTIFS('Post Data'!$A:$A,"pt_city",'Post Data'!$H:$H,"Press / media feature")</f>
        <v>0</v>
      </c>
      <c r="C20" s="12">
        <f>COUNTIFS('Post Data'!$A:$A,"handsofhopeptny",'Post Data'!$H:$H,"Press / media feature")</f>
        <v>1</v>
      </c>
      <c r="D20" s="12">
        <f>COUNTIFS('Post Data'!$A:$A,"jagphysicaltherapy",'Post Data'!$H:$H,"Press / media feature")</f>
        <v>6</v>
      </c>
      <c r="E20" s="12">
        <f>COUNTIFS('Post Data'!$A:$A,"spearptnyc",'Post Data'!$H:$H,"Press / media feature")</f>
        <v>6</v>
      </c>
      <c r="F20" s="12">
        <f>COUNTIFS('Post Data'!$A:$A,"professionalphysicaltherapy",'Post Data'!$H:$H,"Press / media feature")</f>
        <v>1</v>
      </c>
    </row>
    <row r="21" spans="1:6" x14ac:dyDescent="0.25">
      <c r="A21" s="6" t="s">
        <v>543</v>
      </c>
      <c r="B21" s="12">
        <f>COUNTIFS('Post Data'!$A:$A,"pt_city",'Post Data'!$H:$H,"Sports partnerships")</f>
        <v>0</v>
      </c>
      <c r="C21" s="12">
        <f>COUNTIFS('Post Data'!$A:$A,"handsofhopeptny",'Post Data'!$H:$H,"Sports partnerships")</f>
        <v>0</v>
      </c>
      <c r="D21" s="12">
        <f>COUNTIFS('Post Data'!$A:$A,"jagphysicaltherapy",'Post Data'!$H:$H,"Sports partnerships")</f>
        <v>2</v>
      </c>
      <c r="E21" s="12">
        <f>COUNTIFS('Post Data'!$A:$A,"spearptnyc",'Post Data'!$H:$H,"Sports partnerships")</f>
        <v>1</v>
      </c>
      <c r="F21" s="12">
        <f>COUNTIFS('Post Data'!$A:$A,"professionalphysicaltherapy",'Post Data'!$H:$H,"Sports partnerships")</f>
        <v>0</v>
      </c>
    </row>
    <row r="22" spans="1:6" x14ac:dyDescent="0.25">
      <c r="A22" s="6" t="s">
        <v>116</v>
      </c>
      <c r="B22" s="12">
        <f>COUNTIFS('Post Data'!$A:$A,"pt_city",'Post Data'!$H:$H,"Awareness days / holidays")</f>
        <v>7</v>
      </c>
      <c r="C22" s="12">
        <f>COUNTIFS('Post Data'!$A:$A,"handsofhopeptny",'Post Data'!$H:$H,"Awareness days / holidays")</f>
        <v>5</v>
      </c>
      <c r="D22" s="12">
        <f>COUNTIFS('Post Data'!$A:$A,"jagphysicaltherapy",'Post Data'!$H:$H,"Awareness days / holidays")</f>
        <v>4</v>
      </c>
      <c r="E22" s="12">
        <f>COUNTIFS('Post Data'!$A:$A,"spearptnyc",'Post Data'!$H:$H,"Awareness days / holidays")</f>
        <v>3</v>
      </c>
      <c r="F22" s="12">
        <f>COUNTIFS('Post Data'!$A:$A,"professionalphysicaltherapy",'Post Data'!$H:$H,"Awareness days / holidays")</f>
        <v>2</v>
      </c>
    </row>
    <row r="23" spans="1:6" x14ac:dyDescent="0.25">
      <c r="A23" s="6" t="s">
        <v>117</v>
      </c>
      <c r="B23" s="12">
        <f>COUNTIFS('Post Data'!$A:$A,"pt_city",'Post Data'!$H:$H,"Community &amp; events")</f>
        <v>7</v>
      </c>
      <c r="C23" s="12">
        <f>COUNTIFS('Post Data'!$A:$A,"handsofhopeptny",'Post Data'!$H:$H,"Community &amp; events")</f>
        <v>9</v>
      </c>
      <c r="D23" s="12">
        <f>COUNTIFS('Post Data'!$A:$A,"jagphysicaltherapy",'Post Data'!$H:$H,"Community &amp; events")</f>
        <v>5</v>
      </c>
      <c r="E23" s="12">
        <f>COUNTIFS('Post Data'!$A:$A,"spearptnyc",'Post Data'!$H:$H,"Community &amp; events")</f>
        <v>15</v>
      </c>
      <c r="F23" s="12">
        <f>COUNTIFS('Post Data'!$A:$A,"professionalphysicaltherapy",'Post Data'!$H:$H,"Community &amp; events")</f>
        <v>21</v>
      </c>
    </row>
    <row r="24" spans="1:6" x14ac:dyDescent="0.25">
      <c r="A24" s="6" t="s">
        <v>118</v>
      </c>
      <c r="B24" s="12">
        <f>COUNTIFS('Post Data'!$A:$A,"pt_city",'Post Data'!$H:$H,"Patient stories / reviews")</f>
        <v>4</v>
      </c>
      <c r="C24" s="12">
        <f>COUNTIFS('Post Data'!$A:$A,"handsofhopeptny",'Post Data'!$H:$H,"Patient stories / reviews")</f>
        <v>6</v>
      </c>
      <c r="D24" s="12">
        <f>COUNTIFS('Post Data'!$A:$A,"jagphysicaltherapy",'Post Data'!$H:$H,"Patient stories / reviews")</f>
        <v>1</v>
      </c>
      <c r="E24" s="12">
        <f>COUNTIFS('Post Data'!$A:$A,"spearptnyc",'Post Data'!$H:$H,"Patient stories / reviews")</f>
        <v>2</v>
      </c>
      <c r="F24" s="12">
        <f>COUNTIFS('Post Data'!$A:$A,"professionalphysicaltherapy",'Post Data'!$H:$H,"Patient stories / reviews")</f>
        <v>0</v>
      </c>
    </row>
    <row r="25" spans="1:6" x14ac:dyDescent="0.25">
      <c r="A25" s="6" t="s">
        <v>119</v>
      </c>
      <c r="B25" s="12">
        <f>COUNTIFS('Post Data'!$A:$A,"pt_city",'Post Data'!$H:$H,"Team / culture &amp; BTS")</f>
        <v>7</v>
      </c>
      <c r="C25" s="12">
        <f>COUNTIFS('Post Data'!$A:$A,"handsofhopeptny",'Post Data'!$H:$H,"Team / culture &amp; BTS")</f>
        <v>13</v>
      </c>
      <c r="D25" s="12">
        <f>COUNTIFS('Post Data'!$A:$A,"jagphysicaltherapy",'Post Data'!$H:$H,"Team / culture &amp; BTS")</f>
        <v>2</v>
      </c>
      <c r="E25" s="12">
        <f>COUNTIFS('Post Data'!$A:$A,"spearptnyc",'Post Data'!$H:$H,"Team / culture &amp; BTS")</f>
        <v>18</v>
      </c>
      <c r="F25" s="12">
        <f>COUNTIFS('Post Data'!$A:$A,"professionalphysicaltherapy",'Post Data'!$H:$H,"Team / culture &amp; BTS")</f>
        <v>22</v>
      </c>
    </row>
    <row r="26" spans="1:6" x14ac:dyDescent="0.25">
      <c r="A26" s="6" t="s">
        <v>120</v>
      </c>
      <c r="B26" s="12">
        <f>COUNTIFS('Post Data'!$A:$A,"pt_city",'Post Data'!$H:$H,"Clinic / services promo")</f>
        <v>28</v>
      </c>
      <c r="C26" s="12">
        <f>COUNTIFS('Post Data'!$A:$A,"handsofhopeptny",'Post Data'!$H:$H,"Clinic / services promo")</f>
        <v>32</v>
      </c>
      <c r="D26" s="12">
        <f>COUNTIFS('Post Data'!$A:$A,"jagphysicaltherapy",'Post Data'!$H:$H,"Clinic / services promo")</f>
        <v>0</v>
      </c>
      <c r="E26" s="12">
        <f>COUNTIFS('Post Data'!$A:$A,"spearptnyc",'Post Data'!$H:$H,"Clinic / services promo")</f>
        <v>18</v>
      </c>
      <c r="F26" s="12">
        <f>COUNTIFS('Post Data'!$A:$A,"professionalphysicaltherapy",'Post Data'!$H:$H,"Clinic / services promo")</f>
        <v>8</v>
      </c>
    </row>
    <row r="27" spans="1:6" x14ac:dyDescent="0.25">
      <c r="A27" s="6" t="s">
        <v>121</v>
      </c>
      <c r="B27" s="12">
        <f>COUNTIFS('Post Data'!$A:$A,"pt_city",'Post Data'!$H:$H,"Education / exercise tips")</f>
        <v>31</v>
      </c>
      <c r="C27" s="12">
        <f>COUNTIFS('Post Data'!$A:$A,"handsofhopeptny",'Post Data'!$H:$H,"Education / exercise tips")</f>
        <v>32</v>
      </c>
      <c r="D27" s="12">
        <f>COUNTIFS('Post Data'!$A:$A,"jagphysicaltherapy",'Post Data'!$H:$H,"Education / exercise tips")</f>
        <v>51</v>
      </c>
      <c r="E27" s="12">
        <f>COUNTIFS('Post Data'!$A:$A,"spearptnyc",'Post Data'!$H:$H,"Education / exercise tips")</f>
        <v>27</v>
      </c>
      <c r="F27" s="12">
        <f>COUNTIFS('Post Data'!$A:$A,"professionalphysicaltherapy",'Post Data'!$H:$H,"Education / exercise tips")</f>
        <v>25</v>
      </c>
    </row>
    <row r="28" spans="1:6" x14ac:dyDescent="0.25">
      <c r="A28" s="6" t="s">
        <v>122</v>
      </c>
      <c r="B28" s="12">
        <f>COUNTIFS('Post Data'!$A:$A,"pt_city",'Post Data'!$H:$H,"Other / brand")</f>
        <v>6</v>
      </c>
      <c r="C28" s="12">
        <f>COUNTIFS('Post Data'!$A:$A,"handsofhopeptny",'Post Data'!$H:$H,"Other / brand")</f>
        <v>6</v>
      </c>
      <c r="D28" s="12">
        <f>COUNTIFS('Post Data'!$A:$A,"jagphysicaltherapy",'Post Data'!$H:$H,"Other / brand")</f>
        <v>13</v>
      </c>
      <c r="E28" s="12">
        <f>COUNTIFS('Post Data'!$A:$A,"spearptnyc",'Post Data'!$H:$H,"Other / brand")</f>
        <v>9</v>
      </c>
      <c r="F28" s="12">
        <f>COUNTIFS('Post Data'!$A:$A,"professionalphysicaltherapy",'Post Data'!$H:$H,"Other / brand")</f>
        <v>13</v>
      </c>
    </row>
    <row r="30" spans="1:6" ht="20.100000000000001" customHeight="1" x14ac:dyDescent="0.25">
      <c r="A30" s="3" t="s">
        <v>544</v>
      </c>
      <c r="B30" s="4"/>
      <c r="C30" s="4"/>
      <c r="D30" s="4"/>
      <c r="E30" s="4"/>
      <c r="F30" s="4"/>
    </row>
    <row r="31" spans="1:6" ht="30" customHeight="1" x14ac:dyDescent="0.25">
      <c r="A31" s="5" t="s">
        <v>113</v>
      </c>
      <c r="B31" s="5" t="s">
        <v>224</v>
      </c>
      <c r="C31" s="5" t="s">
        <v>225</v>
      </c>
      <c r="D31" s="5" t="s">
        <v>226</v>
      </c>
      <c r="E31" s="5" t="s">
        <v>227</v>
      </c>
      <c r="F31" s="5" t="s">
        <v>228</v>
      </c>
    </row>
    <row r="32" spans="1:6" x14ac:dyDescent="0.25">
      <c r="A32" s="6" t="s">
        <v>114</v>
      </c>
      <c r="B32" s="35">
        <v>1.783783783783784</v>
      </c>
      <c r="C32" s="19"/>
      <c r="D32" s="35">
        <v>1.3799682034976151</v>
      </c>
      <c r="E32" s="19"/>
      <c r="F32" s="35">
        <v>1.583333333333333</v>
      </c>
    </row>
    <row r="33" spans="1:6" x14ac:dyDescent="0.25">
      <c r="A33" s="6" t="s">
        <v>115</v>
      </c>
      <c r="B33" s="19"/>
      <c r="C33" s="19"/>
      <c r="D33" s="36">
        <v>0.24165341812400629</v>
      </c>
      <c r="E33" s="35">
        <v>1.3442622950819669</v>
      </c>
      <c r="F33" s="36">
        <v>0.53333333333333333</v>
      </c>
    </row>
    <row r="34" spans="1:6" x14ac:dyDescent="0.25">
      <c r="A34" s="6" t="s">
        <v>542</v>
      </c>
      <c r="B34" s="19"/>
      <c r="C34" s="19"/>
      <c r="D34" s="36">
        <v>8.1081081081081086E-2</v>
      </c>
      <c r="E34" s="36">
        <v>0.74590163934426224</v>
      </c>
      <c r="F34" s="19"/>
    </row>
    <row r="35" spans="1:6" x14ac:dyDescent="0.25">
      <c r="A35" s="6" t="s">
        <v>543</v>
      </c>
      <c r="B35" s="19"/>
      <c r="C35" s="19"/>
      <c r="D35" s="19"/>
      <c r="E35" s="19"/>
      <c r="F35" s="19"/>
    </row>
    <row r="36" spans="1:6" x14ac:dyDescent="0.25">
      <c r="A36" s="6" t="s">
        <v>116</v>
      </c>
      <c r="B36" s="36">
        <v>0.7567567567567568</v>
      </c>
      <c r="C36" s="37">
        <v>0.8</v>
      </c>
      <c r="D36" s="36">
        <v>0.7567567567567568</v>
      </c>
      <c r="E36" s="35">
        <v>1.540983606557377</v>
      </c>
      <c r="F36" s="19"/>
    </row>
    <row r="37" spans="1:6" x14ac:dyDescent="0.25">
      <c r="A37" s="6" t="s">
        <v>117</v>
      </c>
      <c r="B37" s="37">
        <v>1.189189189189189</v>
      </c>
      <c r="C37" s="35">
        <v>1.8</v>
      </c>
      <c r="D37" s="36">
        <v>0.36248012718600953</v>
      </c>
      <c r="E37" s="35">
        <v>1.377049180327869</v>
      </c>
      <c r="F37" s="36">
        <v>0.3666666666666667</v>
      </c>
    </row>
    <row r="38" spans="1:6" x14ac:dyDescent="0.25">
      <c r="A38" s="6" t="s">
        <v>118</v>
      </c>
      <c r="B38" s="37">
        <v>1.027027027027027</v>
      </c>
      <c r="C38" s="35">
        <v>1.2</v>
      </c>
      <c r="D38" s="19"/>
      <c r="E38" s="19"/>
      <c r="F38" s="19"/>
    </row>
    <row r="39" spans="1:6" x14ac:dyDescent="0.25">
      <c r="A39" s="6" t="s">
        <v>119</v>
      </c>
      <c r="B39" s="35">
        <v>1.4594594594594601</v>
      </c>
      <c r="C39" s="35">
        <v>1.2</v>
      </c>
      <c r="D39" s="19"/>
      <c r="E39" s="35">
        <v>1.7704918032786889</v>
      </c>
      <c r="F39" s="36">
        <v>0.71666666666666667</v>
      </c>
    </row>
    <row r="40" spans="1:6" x14ac:dyDescent="0.25">
      <c r="A40" s="6" t="s">
        <v>120</v>
      </c>
      <c r="B40" s="36">
        <v>0.64864864864864868</v>
      </c>
      <c r="C40" s="37">
        <v>0.8</v>
      </c>
      <c r="D40" s="19"/>
      <c r="E40" s="36">
        <v>0.57377049180327866</v>
      </c>
      <c r="F40" s="35">
        <v>1.666666666666667</v>
      </c>
    </row>
    <row r="41" spans="1:6" x14ac:dyDescent="0.25">
      <c r="A41" s="6" t="s">
        <v>121</v>
      </c>
      <c r="B41" s="36">
        <v>0.54054054054054057</v>
      </c>
      <c r="C41" s="37">
        <v>0.8</v>
      </c>
      <c r="D41" s="37">
        <v>1.1096979332273449</v>
      </c>
      <c r="E41" s="37">
        <v>0.81967213114754089</v>
      </c>
      <c r="F41" s="37">
        <v>0.89999999999999991</v>
      </c>
    </row>
    <row r="42" spans="1:6" x14ac:dyDescent="0.25">
      <c r="A42" s="6" t="s">
        <v>122</v>
      </c>
      <c r="B42" s="35">
        <v>1.8648648648648649</v>
      </c>
      <c r="C42" s="36">
        <v>0.7</v>
      </c>
      <c r="D42" s="36">
        <v>0.47058823529411759</v>
      </c>
      <c r="E42" s="37">
        <v>0.96721311475409832</v>
      </c>
      <c r="F42" s="35">
        <v>2.4666666666666668</v>
      </c>
    </row>
    <row r="43" spans="1:6" ht="26.1" customHeight="1" x14ac:dyDescent="0.25">
      <c r="A43" s="56" t="s">
        <v>545</v>
      </c>
      <c r="B43" s="52"/>
      <c r="C43" s="52"/>
      <c r="D43" s="52"/>
      <c r="E43" s="52"/>
      <c r="F43" s="52"/>
    </row>
    <row r="45" spans="1:6" ht="20.100000000000001" customHeight="1" x14ac:dyDescent="0.25">
      <c r="A45" s="3" t="s">
        <v>546</v>
      </c>
      <c r="B45" s="4"/>
      <c r="C45" s="4"/>
      <c r="D45" s="4"/>
      <c r="E45" s="4"/>
      <c r="F45" s="4"/>
    </row>
    <row r="46" spans="1:6" ht="30" customHeight="1" x14ac:dyDescent="0.25">
      <c r="A46" s="5" t="s">
        <v>296</v>
      </c>
      <c r="B46" s="5" t="s">
        <v>547</v>
      </c>
      <c r="C46" s="5" t="s">
        <v>548</v>
      </c>
      <c r="D46" s="5"/>
      <c r="E46" s="5"/>
      <c r="F46" s="5"/>
    </row>
    <row r="47" spans="1:6" ht="48" customHeight="1" x14ac:dyDescent="0.25">
      <c r="A47" s="6" t="s">
        <v>224</v>
      </c>
      <c r="B47" s="7" t="s">
        <v>549</v>
      </c>
      <c r="C47" s="53" t="s">
        <v>550</v>
      </c>
      <c r="D47" s="54"/>
      <c r="E47" s="54"/>
      <c r="F47" s="55"/>
    </row>
    <row r="48" spans="1:6" ht="48" customHeight="1" x14ac:dyDescent="0.25">
      <c r="A48" s="6" t="s">
        <v>225</v>
      </c>
      <c r="B48" s="7" t="s">
        <v>551</v>
      </c>
      <c r="C48" s="53" t="s">
        <v>552</v>
      </c>
      <c r="D48" s="54"/>
      <c r="E48" s="54"/>
      <c r="F48" s="55"/>
    </row>
    <row r="49" spans="1:6" ht="48" customHeight="1" x14ac:dyDescent="0.25">
      <c r="A49" s="6" t="s">
        <v>226</v>
      </c>
      <c r="B49" s="7" t="s">
        <v>553</v>
      </c>
      <c r="C49" s="53" t="s">
        <v>554</v>
      </c>
      <c r="D49" s="54"/>
      <c r="E49" s="54"/>
      <c r="F49" s="55"/>
    </row>
    <row r="50" spans="1:6" ht="48" customHeight="1" x14ac:dyDescent="0.25">
      <c r="A50" s="6" t="s">
        <v>227</v>
      </c>
      <c r="B50" s="7" t="s">
        <v>555</v>
      </c>
      <c r="C50" s="53" t="s">
        <v>556</v>
      </c>
      <c r="D50" s="54"/>
      <c r="E50" s="54"/>
      <c r="F50" s="55"/>
    </row>
    <row r="51" spans="1:6" ht="48" customHeight="1" x14ac:dyDescent="0.25">
      <c r="A51" s="6" t="s">
        <v>228</v>
      </c>
      <c r="B51" s="7" t="s">
        <v>557</v>
      </c>
      <c r="C51" s="53" t="s">
        <v>558</v>
      </c>
      <c r="D51" s="54"/>
      <c r="E51" s="54"/>
      <c r="F51" s="55"/>
    </row>
  </sheetData>
  <mergeCells count="6">
    <mergeCell ref="A43:F43"/>
    <mergeCell ref="C48:F48"/>
    <mergeCell ref="C49:F49"/>
    <mergeCell ref="C51:F51"/>
    <mergeCell ref="C47:F47"/>
    <mergeCell ref="C50:F5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E8C99"/>
  </sheetPr>
  <dimension ref="A1:H16"/>
  <sheetViews>
    <sheetView showGridLines="0" zoomScale="90" workbookViewId="0"/>
  </sheetViews>
  <sheetFormatPr defaultRowHeight="15" x14ac:dyDescent="0.25"/>
  <cols>
    <col min="1" max="1" width="22" customWidth="1"/>
    <col min="2" max="2" width="24" customWidth="1"/>
    <col min="3" max="3" width="30" customWidth="1"/>
    <col min="4" max="5" width="36" customWidth="1"/>
    <col min="6" max="6" width="26" customWidth="1"/>
    <col min="7" max="7" width="10" customWidth="1"/>
    <col min="8" max="8" width="44" customWidth="1"/>
  </cols>
  <sheetData>
    <row r="1" spans="1:8" ht="26.1" customHeight="1" x14ac:dyDescent="0.3">
      <c r="A1" s="1" t="s">
        <v>559</v>
      </c>
    </row>
    <row r="2" spans="1:8" x14ac:dyDescent="0.25">
      <c r="A2" s="2" t="s">
        <v>560</v>
      </c>
    </row>
    <row r="4" spans="1:8" ht="30" customHeight="1" x14ac:dyDescent="0.25">
      <c r="A4" s="5" t="s">
        <v>296</v>
      </c>
      <c r="B4" s="5" t="s">
        <v>561</v>
      </c>
      <c r="C4" s="5" t="s">
        <v>562</v>
      </c>
      <c r="D4" s="5" t="s">
        <v>563</v>
      </c>
      <c r="E4" s="5" t="s">
        <v>564</v>
      </c>
      <c r="F4" s="5" t="s">
        <v>565</v>
      </c>
      <c r="G4" s="5" t="s">
        <v>566</v>
      </c>
      <c r="H4" s="5" t="s">
        <v>567</v>
      </c>
    </row>
    <row r="5" spans="1:8" ht="95.1" customHeight="1" x14ac:dyDescent="0.25">
      <c r="A5" s="6" t="s">
        <v>224</v>
      </c>
      <c r="B5" s="7" t="s">
        <v>568</v>
      </c>
      <c r="C5" s="7" t="s">
        <v>569</v>
      </c>
      <c r="D5" s="7" t="s">
        <v>570</v>
      </c>
      <c r="E5" s="7" t="s">
        <v>571</v>
      </c>
      <c r="F5" s="7" t="s">
        <v>572</v>
      </c>
      <c r="G5" s="7">
        <v>3</v>
      </c>
      <c r="H5" s="7" t="s">
        <v>573</v>
      </c>
    </row>
    <row r="6" spans="1:8" ht="95.1" customHeight="1" x14ac:dyDescent="0.25">
      <c r="A6" s="6" t="s">
        <v>225</v>
      </c>
      <c r="B6" s="7" t="s">
        <v>574</v>
      </c>
      <c r="C6" s="7" t="s">
        <v>575</v>
      </c>
      <c r="D6" s="7" t="s">
        <v>576</v>
      </c>
      <c r="E6" s="7" t="s">
        <v>577</v>
      </c>
      <c r="F6" s="7" t="s">
        <v>578</v>
      </c>
      <c r="G6" s="7">
        <v>2</v>
      </c>
      <c r="H6" s="7" t="s">
        <v>579</v>
      </c>
    </row>
    <row r="7" spans="1:8" ht="95.1" customHeight="1" x14ac:dyDescent="0.25">
      <c r="A7" s="6" t="s">
        <v>226</v>
      </c>
      <c r="B7" s="7" t="s">
        <v>580</v>
      </c>
      <c r="C7" s="7" t="s">
        <v>581</v>
      </c>
      <c r="D7" s="7" t="s">
        <v>582</v>
      </c>
      <c r="E7" s="7" t="s">
        <v>583</v>
      </c>
      <c r="F7" s="7" t="s">
        <v>584</v>
      </c>
      <c r="G7" s="7">
        <v>5</v>
      </c>
      <c r="H7" s="7" t="s">
        <v>585</v>
      </c>
    </row>
    <row r="8" spans="1:8" ht="95.1" customHeight="1" x14ac:dyDescent="0.25">
      <c r="A8" s="6" t="s">
        <v>227</v>
      </c>
      <c r="B8" s="7" t="s">
        <v>586</v>
      </c>
      <c r="C8" s="7" t="s">
        <v>587</v>
      </c>
      <c r="D8" s="7" t="s">
        <v>588</v>
      </c>
      <c r="E8" s="7" t="s">
        <v>589</v>
      </c>
      <c r="F8" s="7" t="s">
        <v>590</v>
      </c>
      <c r="G8" s="7">
        <v>4</v>
      </c>
      <c r="H8" s="7" t="s">
        <v>591</v>
      </c>
    </row>
    <row r="9" spans="1:8" ht="95.1" customHeight="1" x14ac:dyDescent="0.25">
      <c r="A9" s="6" t="s">
        <v>228</v>
      </c>
      <c r="B9" s="7" t="s">
        <v>592</v>
      </c>
      <c r="C9" s="7" t="s">
        <v>593</v>
      </c>
      <c r="D9" s="7" t="s">
        <v>594</v>
      </c>
      <c r="E9" s="7" t="s">
        <v>595</v>
      </c>
      <c r="F9" s="7" t="s">
        <v>596</v>
      </c>
      <c r="G9" s="7">
        <v>3</v>
      </c>
      <c r="H9" s="7" t="s">
        <v>597</v>
      </c>
    </row>
    <row r="11" spans="1:8" ht="20.100000000000001" customHeight="1" x14ac:dyDescent="0.25">
      <c r="A11" s="3" t="s">
        <v>598</v>
      </c>
      <c r="B11" s="4"/>
      <c r="C11" s="4"/>
      <c r="D11" s="4"/>
      <c r="E11" s="4"/>
      <c r="F11" s="4"/>
      <c r="G11" s="4"/>
      <c r="H11" s="4"/>
    </row>
    <row r="12" spans="1:8" ht="30" customHeight="1" x14ac:dyDescent="0.25">
      <c r="A12" s="51" t="s">
        <v>599</v>
      </c>
      <c r="B12" s="52"/>
      <c r="C12" s="52"/>
      <c r="D12" s="52"/>
      <c r="E12" s="52"/>
      <c r="F12" s="52"/>
      <c r="G12" s="52"/>
      <c r="H12" s="52"/>
    </row>
    <row r="13" spans="1:8" ht="30" customHeight="1" x14ac:dyDescent="0.25">
      <c r="A13" s="51" t="s">
        <v>600</v>
      </c>
      <c r="B13" s="52"/>
      <c r="C13" s="52"/>
      <c r="D13" s="52"/>
      <c r="E13" s="52"/>
      <c r="F13" s="52"/>
      <c r="G13" s="52"/>
      <c r="H13" s="52"/>
    </row>
    <row r="14" spans="1:8" ht="30" customHeight="1" x14ac:dyDescent="0.25">
      <c r="A14" s="51" t="s">
        <v>601</v>
      </c>
      <c r="B14" s="52"/>
      <c r="C14" s="52"/>
      <c r="D14" s="52"/>
      <c r="E14" s="52"/>
      <c r="F14" s="52"/>
      <c r="G14" s="52"/>
      <c r="H14" s="52"/>
    </row>
    <row r="15" spans="1:8" ht="30" customHeight="1" x14ac:dyDescent="0.25">
      <c r="A15" s="51" t="s">
        <v>602</v>
      </c>
      <c r="B15" s="52"/>
      <c r="C15" s="52"/>
      <c r="D15" s="52"/>
      <c r="E15" s="52"/>
      <c r="F15" s="52"/>
      <c r="G15" s="52"/>
      <c r="H15" s="52"/>
    </row>
    <row r="16" spans="1:8" ht="30" customHeight="1" x14ac:dyDescent="0.25">
      <c r="A16" s="51" t="s">
        <v>603</v>
      </c>
      <c r="B16" s="52"/>
      <c r="C16" s="52"/>
      <c r="D16" s="52"/>
      <c r="E16" s="52"/>
      <c r="F16" s="52"/>
      <c r="G16" s="52"/>
      <c r="H16" s="52"/>
    </row>
  </sheetData>
  <mergeCells count="5">
    <mergeCell ref="A12:H12"/>
    <mergeCell ref="A15:H15"/>
    <mergeCell ref="A16:H16"/>
    <mergeCell ref="A13:H13"/>
    <mergeCell ref="A14:H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E8C99"/>
  </sheetPr>
  <dimension ref="A1:F40"/>
  <sheetViews>
    <sheetView showGridLines="0" zoomScale="90" workbookViewId="0"/>
  </sheetViews>
  <sheetFormatPr defaultRowHeight="15" x14ac:dyDescent="0.25"/>
  <cols>
    <col min="1" max="1" width="34" customWidth="1"/>
    <col min="2" max="6" width="18" customWidth="1"/>
  </cols>
  <sheetData>
    <row r="1" spans="1:6" ht="26.1" customHeight="1" x14ac:dyDescent="0.3">
      <c r="A1" s="1" t="s">
        <v>604</v>
      </c>
    </row>
    <row r="2" spans="1:6" x14ac:dyDescent="0.25">
      <c r="A2" s="2" t="s">
        <v>605</v>
      </c>
    </row>
    <row r="4" spans="1:6" ht="20.100000000000001" customHeight="1" x14ac:dyDescent="0.25">
      <c r="A4" s="3" t="s">
        <v>606</v>
      </c>
      <c r="B4" s="4"/>
      <c r="C4" s="4"/>
      <c r="D4" s="4"/>
      <c r="E4" s="4"/>
      <c r="F4" s="4"/>
    </row>
    <row r="5" spans="1:6" ht="30" customHeight="1" x14ac:dyDescent="0.25">
      <c r="A5" s="5" t="s">
        <v>223</v>
      </c>
      <c r="B5" s="5" t="s">
        <v>224</v>
      </c>
      <c r="C5" s="5" t="s">
        <v>225</v>
      </c>
      <c r="D5" s="5" t="s">
        <v>226</v>
      </c>
      <c r="E5" s="5" t="s">
        <v>227</v>
      </c>
      <c r="F5" s="5" t="s">
        <v>228</v>
      </c>
    </row>
    <row r="6" spans="1:6" x14ac:dyDescent="0.25">
      <c r="A6" s="6" t="s">
        <v>247</v>
      </c>
      <c r="B6" s="12">
        <f>AVERAGEIFS('Post Data'!$P:$P,'Post Data'!$A:$A,"pt_city")</f>
        <v>78.722222222222229</v>
      </c>
      <c r="C6" s="12">
        <f>AVERAGEIFS('Post Data'!$P:$P,'Post Data'!$A:$A,"handsofhopeptny")</f>
        <v>64.211538461538467</v>
      </c>
      <c r="D6" s="12">
        <f>AVERAGEIFS('Post Data'!$P:$P,'Post Data'!$A:$A,"jagphysicaltherapy")</f>
        <v>57.027777777777779</v>
      </c>
      <c r="E6" s="12">
        <f>AVERAGEIFS('Post Data'!$P:$P,'Post Data'!$A:$A,"spearptnyc")</f>
        <v>104.22222222222223</v>
      </c>
      <c r="F6" s="12">
        <f>AVERAGEIFS('Post Data'!$P:$P,'Post Data'!$A:$A,"professionalphysicaltherapy")</f>
        <v>73.092592592592595</v>
      </c>
    </row>
    <row r="7" spans="1:6" x14ac:dyDescent="0.25">
      <c r="A7" s="6" t="s">
        <v>607</v>
      </c>
      <c r="B7" s="14">
        <f>AVERAGEIFS('Post Data'!$Q:$Q,'Post Data'!$A:$A,"pt_city")</f>
        <v>3.0833333333333335</v>
      </c>
      <c r="C7" s="14">
        <f>AVERAGEIFS('Post Data'!$Q:$Q,'Post Data'!$A:$A,"handsofhopeptny")</f>
        <v>2.8269230769230771</v>
      </c>
      <c r="D7" s="14">
        <f>AVERAGEIFS('Post Data'!$Q:$Q,'Post Data'!$A:$A,"jagphysicaltherapy")</f>
        <v>5.2222222222222223</v>
      </c>
      <c r="E7" s="14">
        <f>AVERAGEIFS('Post Data'!$Q:$Q,'Post Data'!$A:$A,"spearptnyc")</f>
        <v>0.49074074074074076</v>
      </c>
      <c r="F7" s="14">
        <f>AVERAGEIFS('Post Data'!$Q:$Q,'Post Data'!$A:$A,"professionalphysicaltherapy")</f>
        <v>4.1944444444444446</v>
      </c>
    </row>
    <row r="8" spans="1:6" x14ac:dyDescent="0.25">
      <c r="A8" s="6" t="s">
        <v>608</v>
      </c>
      <c r="B8" s="14">
        <f>AVERAGEIFS('Post Data'!$R:$R,'Post Data'!$A:$A,"pt_city")</f>
        <v>3.7777777777777777</v>
      </c>
      <c r="C8" s="14">
        <f>AVERAGEIFS('Post Data'!$R:$R,'Post Data'!$A:$A,"handsofhopeptny")</f>
        <v>1.0769230769230769</v>
      </c>
      <c r="D8" s="14">
        <f>AVERAGEIFS('Post Data'!$R:$R,'Post Data'!$A:$A,"jagphysicaltherapy")</f>
        <v>0.58333333333333337</v>
      </c>
      <c r="E8" s="14">
        <f>AVERAGEIFS('Post Data'!$R:$R,'Post Data'!$A:$A,"spearptnyc")</f>
        <v>0.96296296296296291</v>
      </c>
      <c r="F8" s="14">
        <f>AVERAGEIFS('Post Data'!$R:$R,'Post Data'!$A:$A,"professionalphysicaltherapy")</f>
        <v>4.4537037037037033</v>
      </c>
    </row>
    <row r="9" spans="1:6" x14ac:dyDescent="0.25">
      <c r="A9" s="6" t="s">
        <v>609</v>
      </c>
      <c r="B9" s="18">
        <f>COUNTIFS('Post Data'!$A:$A,"pt_city",'Post Data'!$S:$S,"Yes")/COUNTIF('Post Data'!$A:$A,"pt_city")</f>
        <v>0.62962962962962965</v>
      </c>
      <c r="C9" s="18">
        <f>COUNTIFS('Post Data'!$A:$A,"handsofhopeptny",'Post Data'!$S:$S,"Yes")/COUNTIF('Post Data'!$A:$A,"handsofhopeptny")</f>
        <v>0.76923076923076927</v>
      </c>
      <c r="D9" s="18">
        <f>COUNTIFS('Post Data'!$A:$A,"jagphysicaltherapy",'Post Data'!$S:$S,"Yes")/COUNTIF('Post Data'!$A:$A,"jagphysicaltherapy")</f>
        <v>0.42592592592592593</v>
      </c>
      <c r="E9" s="18">
        <f>COUNTIFS('Post Data'!$A:$A,"spearptnyc",'Post Data'!$S:$S,"Yes")/COUNTIF('Post Data'!$A:$A,"spearptnyc")</f>
        <v>0.43518518518518517</v>
      </c>
      <c r="F9" s="18">
        <f>COUNTIFS('Post Data'!$A:$A,"professionalphysicaltherapy",'Post Data'!$S:$S,"Yes")/COUNTIF('Post Data'!$A:$A,"professionalphysicaltherapy")</f>
        <v>0.57407407407407407</v>
      </c>
    </row>
    <row r="10" spans="1:6" x14ac:dyDescent="0.25">
      <c r="A10" s="6" t="s">
        <v>610</v>
      </c>
      <c r="B10" s="18">
        <f>COUNTIFS('Post Data'!$A:$A,"pt_city",'Post Data'!$T:$T,"Yes")/COUNTIF('Post Data'!$A:$A,"pt_city")</f>
        <v>0.47222222222222221</v>
      </c>
      <c r="C10" s="18">
        <f>COUNTIFS('Post Data'!$A:$A,"handsofhopeptny",'Post Data'!$T:$T,"Yes")/COUNTIF('Post Data'!$A:$A,"handsofhopeptny")</f>
        <v>0.35576923076923078</v>
      </c>
      <c r="D10" s="18">
        <f>COUNTIFS('Post Data'!$A:$A,"jagphysicaltherapy",'Post Data'!$T:$T,"Yes")/COUNTIF('Post Data'!$A:$A,"jagphysicaltherapy")</f>
        <v>0.34259259259259262</v>
      </c>
      <c r="E10" s="18">
        <f>COUNTIFS('Post Data'!$A:$A,"spearptnyc",'Post Data'!$T:$T,"Yes")/COUNTIF('Post Data'!$A:$A,"spearptnyc")</f>
        <v>0.16666666666666666</v>
      </c>
      <c r="F10" s="18">
        <f>COUNTIFS('Post Data'!$A:$A,"professionalphysicaltherapy",'Post Data'!$T:$T,"Yes")/COUNTIF('Post Data'!$A:$A,"professionalphysicaltherapy")</f>
        <v>0.32407407407407407</v>
      </c>
    </row>
    <row r="11" spans="1:6" x14ac:dyDescent="0.25">
      <c r="A11" s="6" t="s">
        <v>611</v>
      </c>
      <c r="B11" s="15">
        <f>IFERROR(AVERAGEIFS('Post Data'!$N:$N,'Post Data'!$A:$A,"pt_city",'Post Data'!$P:$P,"&lt;40"),0)</f>
        <v>1.082638362395754E-2</v>
      </c>
      <c r="C11" s="15">
        <f>IFERROR(AVERAGEIFS('Post Data'!$N:$N,'Post Data'!$A:$A,"handsofhopeptny",'Post Data'!$P:$P,"&lt;40"),0)</f>
        <v>4.034582132564842E-3</v>
      </c>
      <c r="D11" s="15">
        <f>IFERROR(AVERAGEIFS('Post Data'!$N:$N,'Post Data'!$A:$A,"jagphysicaltherapy",'Post Data'!$P:$P,"&lt;40"),0)</f>
        <v>3.1346685913629255E-2</v>
      </c>
      <c r="E11" s="15">
        <f>IFERROR(AVERAGEIFS('Post Data'!$N:$N,'Post Data'!$A:$A,"spearptnyc",'Post Data'!$P:$P,"&lt;40"),0)</f>
        <v>9.2754538991886813E-3</v>
      </c>
      <c r="F11" s="15">
        <f>IFERROR(AVERAGEIFS('Post Data'!$N:$N,'Post Data'!$A:$A,"professionalphysicaltherapy",'Post Data'!$P:$P,"&lt;40"),0)</f>
        <v>2.1047619047619048E-2</v>
      </c>
    </row>
    <row r="12" spans="1:6" x14ac:dyDescent="0.25">
      <c r="A12" s="6" t="s">
        <v>612</v>
      </c>
      <c r="B12" s="15">
        <f>IFERROR(AVERAGEIFS('Post Data'!$N:$N,'Post Data'!$A:$A,"pt_city",'Post Data'!$P:$P,"&gt;=40",'Post Data'!$P:$P,"&lt;100"),0)</f>
        <v>6.8726616000049298E-3</v>
      </c>
      <c r="C12" s="15">
        <f>IFERROR(AVERAGEIFS('Post Data'!$N:$N,'Post Data'!$A:$A,"handsofhopeptny",'Post Data'!$P:$P,"&gt;=40",'Post Data'!$P:$P,"&lt;100"),0)</f>
        <v>3.1607325462489561E-3</v>
      </c>
      <c r="D12" s="15">
        <f>IFERROR(AVERAGEIFS('Post Data'!$N:$N,'Post Data'!$A:$A,"jagphysicaltherapy",'Post Data'!$P:$P,"&gt;=40",'Post Data'!$P:$P,"&lt;100"),0)</f>
        <v>1.013673961480939E-2</v>
      </c>
      <c r="E12" s="15">
        <f>IFERROR(AVERAGEIFS('Post Data'!$N:$N,'Post Data'!$A:$A,"spearptnyc",'Post Data'!$P:$P,"&gt;=40",'Post Data'!$P:$P,"&lt;100"),0)</f>
        <v>9.2575466704083783E-3</v>
      </c>
      <c r="F12" s="15">
        <f>IFERROR(AVERAGEIFS('Post Data'!$N:$N,'Post Data'!$A:$A,"professionalphysicaltherapy",'Post Data'!$P:$P,"&gt;=40",'Post Data'!$P:$P,"&lt;100"),0)</f>
        <v>5.7619047619047641E-3</v>
      </c>
    </row>
    <row r="13" spans="1:6" x14ac:dyDescent="0.25">
      <c r="A13" s="6" t="s">
        <v>613</v>
      </c>
      <c r="B13" s="15">
        <f>IFERROR(AVERAGEIFS('Post Data'!$N:$N,'Post Data'!$A:$A,"pt_city",'Post Data'!$P:$P,"&gt;=100"),0)</f>
        <v>4.7956003225146501E-3</v>
      </c>
      <c r="C13" s="15">
        <f>IFERROR(AVERAGEIFS('Post Data'!$N:$N,'Post Data'!$A:$A,"handsofhopeptny",'Post Data'!$P:$P,"&gt;=100"),0)</f>
        <v>3.9193083573487025E-3</v>
      </c>
      <c r="D13" s="15">
        <f>IFERROR(AVERAGEIFS('Post Data'!$N:$N,'Post Data'!$A:$A,"jagphysicaltherapy",'Post Data'!$P:$P,"&gt;=100"),0)</f>
        <v>2.4773590417762198E-3</v>
      </c>
      <c r="E13" s="15">
        <f>IFERROR(AVERAGEIFS('Post Data'!$N:$N,'Post Data'!$A:$A,"spearptnyc",'Post Data'!$P:$P,"&gt;=100"),0)</f>
        <v>1.3708226432717725E-2</v>
      </c>
      <c r="F13" s="15">
        <f>IFERROR(AVERAGEIFS('Post Data'!$N:$N,'Post Data'!$A:$A,"professionalphysicaltherapy",'Post Data'!$P:$P,"&gt;=100"),0)</f>
        <v>7.1926406926406936E-2</v>
      </c>
    </row>
    <row r="14" spans="1:6" x14ac:dyDescent="0.25">
      <c r="A14" s="6" t="s">
        <v>614</v>
      </c>
      <c r="B14" s="15">
        <f>IFERROR(AVERAGEIFS('Post Data'!$N:$N,'Post Data'!$A:$A,"pt_city",'Post Data'!$S:$S,"Yes"),0)</f>
        <v>5.8347827379625116E-3</v>
      </c>
      <c r="C14" s="15">
        <f>IFERROR(AVERAGEIFS('Post Data'!$N:$N,'Post Data'!$A:$A,"handsofhopeptny",'Post Data'!$S:$S,"Yes"),0)</f>
        <v>3.097982708933719E-3</v>
      </c>
      <c r="D14" s="15">
        <f>IFERROR(AVERAGEIFS('Post Data'!$N:$N,'Post Data'!$A:$A,"jagphysicaltherapy",'Post Data'!$S:$S,"Yes"),0)</f>
        <v>2.2590024006401706E-2</v>
      </c>
      <c r="E14" s="15">
        <f>IFERROR(AVERAGEIFS('Post Data'!$N:$N,'Post Data'!$A:$A,"spearptnyc",'Post Data'!$S:$S,"Yes"),0)</f>
        <v>1.0605526234476385E-2</v>
      </c>
      <c r="F14" s="15">
        <f>IFERROR(AVERAGEIFS('Post Data'!$N:$N,'Post Data'!$A:$A,"professionalphysicaltherapy",'Post Data'!$S:$S,"Yes"),0)</f>
        <v>3.8678955453149001E-3</v>
      </c>
    </row>
    <row r="15" spans="1:6" x14ac:dyDescent="0.25">
      <c r="A15" s="6" t="s">
        <v>615</v>
      </c>
      <c r="B15" s="15">
        <f>IFERROR(AVERAGEIFS('Post Data'!$N:$N,'Post Data'!$A:$A,"pt_city",'Post Data'!$S:$S,"No"),0)</f>
        <v>8.927217589082638E-3</v>
      </c>
      <c r="C15" s="15">
        <f>IFERROR(AVERAGEIFS('Post Data'!$N:$N,'Post Data'!$A:$A,"handsofhopeptny",'Post Data'!$S:$S,"No"),0)</f>
        <v>3.7463976945244959E-3</v>
      </c>
      <c r="D15" s="15">
        <f>IFERROR(AVERAGEIFS('Post Data'!$N:$N,'Post Data'!$A:$A,"jagphysicaltherapy",'Post Data'!$S:$S,"No"),0)</f>
        <v>1.1663698133122237E-2</v>
      </c>
      <c r="E15" s="15">
        <f>IFERROR(AVERAGEIFS('Post Data'!$N:$N,'Post Data'!$A:$A,"spearptnyc",'Post Data'!$S:$S,"No"),0)</f>
        <v>1.1797891962475684E-2</v>
      </c>
      <c r="F15" s="15">
        <f>IFERROR(AVERAGEIFS('Post Data'!$N:$N,'Post Data'!$A:$A,"professionalphysicaltherapy",'Post Data'!$S:$S,"No"),0)</f>
        <v>4.7269151138716367E-2</v>
      </c>
    </row>
    <row r="16" spans="1:6" x14ac:dyDescent="0.25">
      <c r="A16" s="6" t="s">
        <v>616</v>
      </c>
      <c r="B16" s="13">
        <v>4.8459186073864977</v>
      </c>
      <c r="C16" s="13">
        <v>5.2560646900269541</v>
      </c>
      <c r="D16" s="13">
        <v>2.2730962818639391</v>
      </c>
      <c r="E16" s="13">
        <v>1.847903340440654</v>
      </c>
      <c r="F16" s="13">
        <v>2.8249303268305042</v>
      </c>
    </row>
    <row r="17" spans="1:6" x14ac:dyDescent="0.25">
      <c r="A17" s="6" t="s">
        <v>617</v>
      </c>
      <c r="B17" s="13">
        <v>2.6111503175723358</v>
      </c>
      <c r="C17" s="13">
        <v>4.642108415693321</v>
      </c>
      <c r="D17" s="13">
        <v>0.84429290469232021</v>
      </c>
      <c r="E17" s="13">
        <v>2.0611229566453448</v>
      </c>
      <c r="F17" s="13">
        <v>3.5216620217886998</v>
      </c>
    </row>
    <row r="18" spans="1:6" x14ac:dyDescent="0.25">
      <c r="A18" s="6" t="s">
        <v>618</v>
      </c>
      <c r="B18" s="17">
        <v>1.164431898376852</v>
      </c>
      <c r="C18" s="17">
        <v>0.25456723569931122</v>
      </c>
      <c r="D18" s="17">
        <v>1.5099853872381881</v>
      </c>
      <c r="E18" s="17">
        <v>1.5724946695095949</v>
      </c>
      <c r="F18" s="17">
        <v>0.86141373194831516</v>
      </c>
    </row>
    <row r="19" spans="1:6" x14ac:dyDescent="0.25">
      <c r="A19" s="6" t="s">
        <v>619</v>
      </c>
      <c r="B19" s="38">
        <v>0</v>
      </c>
      <c r="C19" s="38">
        <v>0</v>
      </c>
      <c r="D19" s="38">
        <v>1.8518518518518521E-2</v>
      </c>
      <c r="E19" s="38">
        <v>0.30555555555555558</v>
      </c>
      <c r="F19" s="38">
        <v>0.1851851851851852</v>
      </c>
    </row>
    <row r="20" spans="1:6" x14ac:dyDescent="0.25">
      <c r="A20" s="6" t="s">
        <v>620</v>
      </c>
      <c r="B20" s="38">
        <v>0.92592592592592593</v>
      </c>
      <c r="C20" s="38">
        <v>0.65384615384615385</v>
      </c>
      <c r="D20" s="38">
        <v>0.30555555555555558</v>
      </c>
      <c r="E20" s="38">
        <v>0.3611111111111111</v>
      </c>
      <c r="F20" s="38">
        <v>0.92592592592592593</v>
      </c>
    </row>
    <row r="21" spans="1:6" ht="69.95" customHeight="1" x14ac:dyDescent="0.25">
      <c r="A21" s="6" t="s">
        <v>621</v>
      </c>
      <c r="B21" s="7" t="s">
        <v>622</v>
      </c>
      <c r="C21" s="7" t="s">
        <v>623</v>
      </c>
      <c r="D21" s="7" t="s">
        <v>624</v>
      </c>
      <c r="E21" s="7" t="s">
        <v>625</v>
      </c>
      <c r="F21" s="7" t="s">
        <v>626</v>
      </c>
    </row>
    <row r="23" spans="1:6" ht="20.100000000000001" customHeight="1" x14ac:dyDescent="0.25">
      <c r="A23" s="3" t="s">
        <v>627</v>
      </c>
      <c r="B23" s="4"/>
      <c r="C23" s="4"/>
      <c r="D23" s="4"/>
      <c r="E23" s="4"/>
      <c r="F23" s="4"/>
    </row>
    <row r="24" spans="1:6" ht="30" customHeight="1" x14ac:dyDescent="0.25">
      <c r="A24" s="5" t="s">
        <v>628</v>
      </c>
      <c r="B24" s="5" t="s">
        <v>224</v>
      </c>
      <c r="C24" s="5" t="s">
        <v>225</v>
      </c>
      <c r="D24" s="5" t="s">
        <v>226</v>
      </c>
      <c r="E24" s="5" t="s">
        <v>227</v>
      </c>
      <c r="F24" s="5" t="s">
        <v>228</v>
      </c>
    </row>
    <row r="25" spans="1:6" x14ac:dyDescent="0.25">
      <c r="A25" s="6" t="s">
        <v>629</v>
      </c>
      <c r="B25" s="7" t="s">
        <v>630</v>
      </c>
      <c r="C25" s="7" t="s">
        <v>631</v>
      </c>
      <c r="D25" s="7" t="s">
        <v>632</v>
      </c>
      <c r="E25" s="7" t="s">
        <v>633</v>
      </c>
      <c r="F25" s="7" t="s">
        <v>634</v>
      </c>
    </row>
    <row r="26" spans="1:6" x14ac:dyDescent="0.25">
      <c r="A26" s="6" t="s">
        <v>635</v>
      </c>
      <c r="B26" s="7"/>
      <c r="C26" s="7" t="s">
        <v>636</v>
      </c>
      <c r="D26" s="7"/>
      <c r="E26" s="7" t="s">
        <v>637</v>
      </c>
      <c r="F26" s="7"/>
    </row>
    <row r="27" spans="1:6" x14ac:dyDescent="0.25">
      <c r="A27" s="6" t="s">
        <v>638</v>
      </c>
      <c r="B27" s="7" t="s">
        <v>639</v>
      </c>
      <c r="C27" s="7" t="s">
        <v>640</v>
      </c>
      <c r="D27" s="7" t="s">
        <v>641</v>
      </c>
      <c r="E27" s="7" t="s">
        <v>642</v>
      </c>
      <c r="F27" s="7" t="s">
        <v>643</v>
      </c>
    </row>
    <row r="28" spans="1:6" x14ac:dyDescent="0.25">
      <c r="A28" s="6" t="s">
        <v>644</v>
      </c>
      <c r="B28" s="7" t="s">
        <v>645</v>
      </c>
      <c r="C28" s="7"/>
      <c r="D28" s="7"/>
      <c r="E28" s="7"/>
      <c r="F28" s="7"/>
    </row>
    <row r="29" spans="1:6" x14ac:dyDescent="0.25">
      <c r="A29" s="6" t="s">
        <v>646</v>
      </c>
      <c r="B29" s="7"/>
      <c r="C29" s="7" t="s">
        <v>647</v>
      </c>
      <c r="D29" s="7"/>
      <c r="E29" s="7"/>
      <c r="F29" s="7"/>
    </row>
    <row r="30" spans="1:6" x14ac:dyDescent="0.25">
      <c r="A30" s="6" t="s">
        <v>648</v>
      </c>
      <c r="B30" s="7"/>
      <c r="C30" s="7"/>
      <c r="D30" s="7"/>
      <c r="E30" s="7"/>
      <c r="F30" s="7" t="s">
        <v>649</v>
      </c>
    </row>
    <row r="31" spans="1:6" x14ac:dyDescent="0.25">
      <c r="A31" s="6" t="s">
        <v>650</v>
      </c>
      <c r="B31" s="7" t="s">
        <v>651</v>
      </c>
      <c r="C31" s="7" t="s">
        <v>652</v>
      </c>
      <c r="D31" s="7" t="s">
        <v>653</v>
      </c>
      <c r="E31" s="7" t="s">
        <v>654</v>
      </c>
      <c r="F31" s="7" t="s">
        <v>655</v>
      </c>
    </row>
    <row r="32" spans="1:6" x14ac:dyDescent="0.25">
      <c r="A32" s="6" t="s">
        <v>656</v>
      </c>
      <c r="B32" s="7" t="s">
        <v>657</v>
      </c>
      <c r="C32" s="7" t="s">
        <v>658</v>
      </c>
      <c r="D32" s="7" t="s">
        <v>659</v>
      </c>
      <c r="E32" s="7" t="s">
        <v>660</v>
      </c>
      <c r="F32" s="7" t="s">
        <v>661</v>
      </c>
    </row>
    <row r="34" spans="1:6" ht="20.100000000000001" customHeight="1" x14ac:dyDescent="0.25">
      <c r="A34" s="3" t="s">
        <v>662</v>
      </c>
      <c r="B34" s="4"/>
      <c r="C34" s="4"/>
      <c r="D34" s="4"/>
      <c r="E34" s="4"/>
      <c r="F34" s="4"/>
    </row>
    <row r="35" spans="1:6" ht="36" customHeight="1" x14ac:dyDescent="0.25">
      <c r="A35" s="51" t="s">
        <v>663</v>
      </c>
      <c r="B35" s="52"/>
      <c r="C35" s="52"/>
      <c r="D35" s="52"/>
      <c r="E35" s="52"/>
      <c r="F35" s="52"/>
    </row>
    <row r="36" spans="1:6" ht="36" customHeight="1" x14ac:dyDescent="0.25">
      <c r="A36" s="51" t="s">
        <v>664</v>
      </c>
      <c r="B36" s="52"/>
      <c r="C36" s="52"/>
      <c r="D36" s="52"/>
      <c r="E36" s="52"/>
      <c r="F36" s="52"/>
    </row>
    <row r="37" spans="1:6" ht="36" customHeight="1" x14ac:dyDescent="0.25">
      <c r="A37" s="51" t="s">
        <v>665</v>
      </c>
      <c r="B37" s="52"/>
      <c r="C37" s="52"/>
      <c r="D37" s="52"/>
      <c r="E37" s="52"/>
      <c r="F37" s="52"/>
    </row>
    <row r="38" spans="1:6" ht="36" customHeight="1" x14ac:dyDescent="0.25">
      <c r="A38" s="51" t="s">
        <v>666</v>
      </c>
      <c r="B38" s="52"/>
      <c r="C38" s="52"/>
      <c r="D38" s="52"/>
      <c r="E38" s="52"/>
      <c r="F38" s="52"/>
    </row>
    <row r="39" spans="1:6" ht="36" customHeight="1" x14ac:dyDescent="0.25">
      <c r="A39" s="51" t="s">
        <v>667</v>
      </c>
      <c r="B39" s="52"/>
      <c r="C39" s="52"/>
      <c r="D39" s="52"/>
      <c r="E39" s="52"/>
      <c r="F39" s="52"/>
    </row>
    <row r="40" spans="1:6" ht="36" customHeight="1" x14ac:dyDescent="0.25">
      <c r="A40" s="51" t="s">
        <v>668</v>
      </c>
      <c r="B40" s="52"/>
      <c r="C40" s="52"/>
      <c r="D40" s="52"/>
      <c r="E40" s="52"/>
      <c r="F40" s="52"/>
    </row>
  </sheetData>
  <mergeCells count="6">
    <mergeCell ref="A38:F38"/>
    <mergeCell ref="A36:F36"/>
    <mergeCell ref="A37:F37"/>
    <mergeCell ref="A40:F40"/>
    <mergeCell ref="A35:F35"/>
    <mergeCell ref="A39:F3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E8C99"/>
  </sheetPr>
  <dimension ref="A1:E15"/>
  <sheetViews>
    <sheetView showGridLines="0" zoomScale="90" workbookViewId="0"/>
  </sheetViews>
  <sheetFormatPr defaultRowHeight="15" x14ac:dyDescent="0.25"/>
  <cols>
    <col min="1" max="1" width="24" customWidth="1"/>
    <col min="2" max="3" width="42" customWidth="1"/>
    <col min="4" max="4" width="36" customWidth="1"/>
    <col min="5" max="5" width="50" customWidth="1"/>
  </cols>
  <sheetData>
    <row r="1" spans="1:5" ht="26.1" customHeight="1" x14ac:dyDescent="0.3">
      <c r="A1" s="1" t="s">
        <v>669</v>
      </c>
    </row>
    <row r="2" spans="1:5" x14ac:dyDescent="0.25">
      <c r="A2" s="2" t="s">
        <v>670</v>
      </c>
    </row>
    <row r="4" spans="1:5" ht="30" customHeight="1" x14ac:dyDescent="0.25">
      <c r="A4" s="5" t="s">
        <v>296</v>
      </c>
      <c r="B4" s="5" t="s">
        <v>671</v>
      </c>
      <c r="C4" s="5" t="s">
        <v>672</v>
      </c>
      <c r="D4" s="5" t="s">
        <v>673</v>
      </c>
      <c r="E4" s="5" t="s">
        <v>674</v>
      </c>
    </row>
    <row r="5" spans="1:5" ht="95.1" customHeight="1" x14ac:dyDescent="0.25">
      <c r="A5" s="6" t="s">
        <v>224</v>
      </c>
      <c r="B5" s="7" t="s">
        <v>675</v>
      </c>
      <c r="C5" s="7" t="s">
        <v>676</v>
      </c>
      <c r="D5" s="7" t="s">
        <v>677</v>
      </c>
      <c r="E5" s="7" t="s">
        <v>678</v>
      </c>
    </row>
    <row r="6" spans="1:5" ht="95.1" customHeight="1" x14ac:dyDescent="0.25">
      <c r="A6" s="6" t="s">
        <v>225</v>
      </c>
      <c r="B6" s="7" t="s">
        <v>679</v>
      </c>
      <c r="C6" s="7" t="s">
        <v>680</v>
      </c>
      <c r="D6" s="7" t="s">
        <v>681</v>
      </c>
      <c r="E6" s="7" t="s">
        <v>682</v>
      </c>
    </row>
    <row r="7" spans="1:5" ht="95.1" customHeight="1" x14ac:dyDescent="0.25">
      <c r="A7" s="6" t="s">
        <v>226</v>
      </c>
      <c r="B7" s="7" t="s">
        <v>683</v>
      </c>
      <c r="C7" s="7" t="s">
        <v>684</v>
      </c>
      <c r="D7" s="7" t="s">
        <v>685</v>
      </c>
      <c r="E7" s="7" t="s">
        <v>686</v>
      </c>
    </row>
    <row r="8" spans="1:5" ht="95.1" customHeight="1" x14ac:dyDescent="0.25">
      <c r="A8" s="6" t="s">
        <v>227</v>
      </c>
      <c r="B8" s="7" t="s">
        <v>687</v>
      </c>
      <c r="C8" s="7" t="s">
        <v>688</v>
      </c>
      <c r="D8" s="7" t="s">
        <v>689</v>
      </c>
      <c r="E8" s="7" t="s">
        <v>690</v>
      </c>
    </row>
    <row r="9" spans="1:5" ht="95.1" customHeight="1" x14ac:dyDescent="0.25">
      <c r="A9" s="6" t="s">
        <v>228</v>
      </c>
      <c r="B9" s="7" t="s">
        <v>691</v>
      </c>
      <c r="C9" s="7" t="s">
        <v>692</v>
      </c>
      <c r="D9" s="7" t="s">
        <v>693</v>
      </c>
      <c r="E9" s="7" t="s">
        <v>694</v>
      </c>
    </row>
    <row r="11" spans="1:5" ht="20.100000000000001" customHeight="1" x14ac:dyDescent="0.25">
      <c r="A11" s="3" t="s">
        <v>695</v>
      </c>
      <c r="B11" s="4"/>
      <c r="C11" s="4"/>
      <c r="D11" s="4"/>
      <c r="E11" s="4"/>
    </row>
    <row r="12" spans="1:5" ht="33.950000000000003" customHeight="1" x14ac:dyDescent="0.25">
      <c r="A12" s="51" t="s">
        <v>696</v>
      </c>
      <c r="B12" s="52"/>
      <c r="C12" s="52"/>
      <c r="D12" s="52"/>
      <c r="E12" s="52"/>
    </row>
    <row r="13" spans="1:5" ht="33.950000000000003" customHeight="1" x14ac:dyDescent="0.25">
      <c r="A13" s="51" t="s">
        <v>697</v>
      </c>
      <c r="B13" s="52"/>
      <c r="C13" s="52"/>
      <c r="D13" s="52"/>
      <c r="E13" s="52"/>
    </row>
    <row r="14" spans="1:5" ht="33.950000000000003" customHeight="1" x14ac:dyDescent="0.25">
      <c r="A14" s="51" t="s">
        <v>698</v>
      </c>
      <c r="B14" s="52"/>
      <c r="C14" s="52"/>
      <c r="D14" s="52"/>
      <c r="E14" s="52"/>
    </row>
    <row r="15" spans="1:5" ht="33.950000000000003" customHeight="1" x14ac:dyDescent="0.25">
      <c r="A15" s="51" t="s">
        <v>699</v>
      </c>
      <c r="B15" s="52"/>
      <c r="C15" s="52"/>
      <c r="D15" s="52"/>
      <c r="E15" s="52"/>
    </row>
  </sheetData>
  <mergeCells count="4">
    <mergeCell ref="A15:E15"/>
    <mergeCell ref="A12:E12"/>
    <mergeCell ref="A13:E13"/>
    <mergeCell ref="A14:E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E8C99"/>
  </sheetPr>
  <dimension ref="A1:J17"/>
  <sheetViews>
    <sheetView showGridLines="0" zoomScale="90" workbookViewId="0"/>
  </sheetViews>
  <sheetFormatPr defaultRowHeight="15" x14ac:dyDescent="0.25"/>
  <cols>
    <col min="1" max="1" width="24" customWidth="1"/>
    <col min="2" max="2" width="38" customWidth="1"/>
    <col min="3" max="6" width="13" customWidth="1"/>
    <col min="7" max="9" width="12" customWidth="1"/>
    <col min="10" max="10" width="60" customWidth="1"/>
  </cols>
  <sheetData>
    <row r="1" spans="1:10" ht="26.1" customHeight="1" x14ac:dyDescent="0.3">
      <c r="A1" s="1" t="s">
        <v>700</v>
      </c>
    </row>
    <row r="2" spans="1:10" x14ac:dyDescent="0.25">
      <c r="A2" s="2" t="s">
        <v>701</v>
      </c>
    </row>
    <row r="4" spans="1:10" ht="30" customHeight="1" x14ac:dyDescent="0.25">
      <c r="A4" s="5" t="s">
        <v>296</v>
      </c>
      <c r="B4" s="5" t="s">
        <v>702</v>
      </c>
      <c r="C4" s="5" t="s">
        <v>703</v>
      </c>
      <c r="D4" s="5" t="s">
        <v>704</v>
      </c>
      <c r="E4" s="5" t="s">
        <v>705</v>
      </c>
      <c r="F4" s="5" t="s">
        <v>706</v>
      </c>
      <c r="G4" s="5" t="s">
        <v>707</v>
      </c>
      <c r="H4" s="5" t="s">
        <v>708</v>
      </c>
      <c r="I4" s="5" t="s">
        <v>709</v>
      </c>
      <c r="J4" s="5" t="s">
        <v>710</v>
      </c>
    </row>
    <row r="5" spans="1:10" ht="69.95" customHeight="1" x14ac:dyDescent="0.25">
      <c r="A5" s="6" t="s">
        <v>224</v>
      </c>
      <c r="B5" s="7" t="s">
        <v>711</v>
      </c>
      <c r="C5" s="29">
        <v>4</v>
      </c>
      <c r="D5" s="29">
        <v>4</v>
      </c>
      <c r="E5" s="29">
        <v>3</v>
      </c>
      <c r="F5" s="29">
        <v>4</v>
      </c>
      <c r="G5" s="14">
        <v>4.8459186073864977</v>
      </c>
      <c r="H5" s="14">
        <v>2.6111503175723358</v>
      </c>
      <c r="I5" s="14">
        <v>3.7777777777777781</v>
      </c>
      <c r="J5" s="7" t="s">
        <v>712</v>
      </c>
    </row>
    <row r="6" spans="1:10" ht="69.95" customHeight="1" x14ac:dyDescent="0.25">
      <c r="A6" s="6" t="s">
        <v>225</v>
      </c>
      <c r="B6" s="7" t="s">
        <v>713</v>
      </c>
      <c r="C6" s="29">
        <v>3</v>
      </c>
      <c r="D6" s="29">
        <v>4</v>
      </c>
      <c r="E6" s="29">
        <v>2</v>
      </c>
      <c r="F6" s="29">
        <v>3</v>
      </c>
      <c r="G6" s="14">
        <v>5.2560646900269541</v>
      </c>
      <c r="H6" s="14">
        <v>4.642108415693321</v>
      </c>
      <c r="I6" s="14">
        <v>1.0769230769230771</v>
      </c>
      <c r="J6" s="7" t="s">
        <v>714</v>
      </c>
    </row>
    <row r="7" spans="1:10" ht="69.95" customHeight="1" x14ac:dyDescent="0.25">
      <c r="A7" s="6" t="s">
        <v>226</v>
      </c>
      <c r="B7" s="7" t="s">
        <v>715</v>
      </c>
      <c r="C7" s="29">
        <v>3</v>
      </c>
      <c r="D7" s="29">
        <v>3</v>
      </c>
      <c r="E7" s="29">
        <v>3</v>
      </c>
      <c r="F7" s="29">
        <v>4</v>
      </c>
      <c r="G7" s="14">
        <v>2.2730962818639391</v>
      </c>
      <c r="H7" s="14">
        <v>0.84429290469232021</v>
      </c>
      <c r="I7" s="14">
        <v>0.58333333333333337</v>
      </c>
      <c r="J7" s="7" t="s">
        <v>716</v>
      </c>
    </row>
    <row r="8" spans="1:10" ht="69.95" customHeight="1" x14ac:dyDescent="0.25">
      <c r="A8" s="6" t="s">
        <v>227</v>
      </c>
      <c r="B8" s="7" t="s">
        <v>717</v>
      </c>
      <c r="C8" s="29">
        <v>2</v>
      </c>
      <c r="D8" s="29">
        <v>3</v>
      </c>
      <c r="E8" s="29">
        <v>2</v>
      </c>
      <c r="F8" s="29">
        <v>2</v>
      </c>
      <c r="G8" s="14">
        <v>1.847903340440654</v>
      </c>
      <c r="H8" s="14">
        <v>2.0611229566453448</v>
      </c>
      <c r="I8" s="14">
        <v>0.96296296296296291</v>
      </c>
      <c r="J8" s="7" t="s">
        <v>718</v>
      </c>
    </row>
    <row r="9" spans="1:10" ht="69.95" customHeight="1" x14ac:dyDescent="0.25">
      <c r="A9" s="6" t="s">
        <v>228</v>
      </c>
      <c r="B9" s="7" t="s">
        <v>719</v>
      </c>
      <c r="C9" s="29">
        <v>3</v>
      </c>
      <c r="D9" s="29">
        <v>4</v>
      </c>
      <c r="E9" s="29">
        <v>4</v>
      </c>
      <c r="F9" s="29">
        <v>2</v>
      </c>
      <c r="G9" s="14">
        <v>2.8249303268305042</v>
      </c>
      <c r="H9" s="14">
        <v>3.5216620217886998</v>
      </c>
      <c r="I9" s="14">
        <v>4.4537037037037033</v>
      </c>
      <c r="J9" s="7" t="s">
        <v>720</v>
      </c>
    </row>
    <row r="11" spans="1:10" ht="20.100000000000001" customHeight="1" x14ac:dyDescent="0.25">
      <c r="A11" s="3" t="s">
        <v>721</v>
      </c>
      <c r="B11" s="4"/>
      <c r="C11" s="4"/>
      <c r="D11" s="4"/>
      <c r="E11" s="4"/>
      <c r="F11" s="4"/>
      <c r="G11" s="4"/>
      <c r="H11" s="4"/>
      <c r="I11" s="4"/>
      <c r="J11" s="4"/>
    </row>
    <row r="12" spans="1:10" ht="21.95" customHeight="1" x14ac:dyDescent="0.25">
      <c r="A12" s="51" t="s">
        <v>722</v>
      </c>
      <c r="B12" s="52"/>
      <c r="C12" s="52"/>
      <c r="D12" s="52"/>
      <c r="E12" s="52"/>
      <c r="F12" s="52"/>
      <c r="G12" s="52"/>
      <c r="H12" s="52"/>
      <c r="I12" s="52"/>
      <c r="J12" s="52"/>
    </row>
    <row r="13" spans="1:10" ht="21.95" customHeight="1" x14ac:dyDescent="0.25">
      <c r="A13" s="51" t="s">
        <v>723</v>
      </c>
      <c r="B13" s="52"/>
      <c r="C13" s="52"/>
      <c r="D13" s="52"/>
      <c r="E13" s="52"/>
      <c r="F13" s="52"/>
      <c r="G13" s="52"/>
      <c r="H13" s="52"/>
      <c r="I13" s="52"/>
      <c r="J13" s="52"/>
    </row>
    <row r="14" spans="1:10" ht="21.95" customHeight="1" x14ac:dyDescent="0.25">
      <c r="A14" s="51" t="s">
        <v>724</v>
      </c>
      <c r="B14" s="52"/>
      <c r="C14" s="52"/>
      <c r="D14" s="52"/>
      <c r="E14" s="52"/>
      <c r="F14" s="52"/>
      <c r="G14" s="52"/>
      <c r="H14" s="52"/>
      <c r="I14" s="52"/>
      <c r="J14" s="52"/>
    </row>
    <row r="15" spans="1:10" ht="21.95" customHeight="1" x14ac:dyDescent="0.25">
      <c r="A15" s="51" t="s">
        <v>725</v>
      </c>
      <c r="B15" s="52"/>
      <c r="C15" s="52"/>
      <c r="D15" s="52"/>
      <c r="E15" s="52"/>
      <c r="F15" s="52"/>
      <c r="G15" s="52"/>
      <c r="H15" s="52"/>
      <c r="I15" s="52"/>
      <c r="J15" s="52"/>
    </row>
    <row r="16" spans="1:10" ht="39.950000000000003" customHeight="1" x14ac:dyDescent="0.25">
      <c r="A16" s="6" t="s">
        <v>726</v>
      </c>
      <c r="B16" s="53" t="s">
        <v>727</v>
      </c>
      <c r="C16" s="54"/>
      <c r="D16" s="54"/>
      <c r="E16" s="54"/>
      <c r="F16" s="54"/>
      <c r="G16" s="54"/>
      <c r="H16" s="54"/>
      <c r="I16" s="54"/>
      <c r="J16" s="55"/>
    </row>
    <row r="17" spans="1:10" ht="30" customHeight="1" x14ac:dyDescent="0.25">
      <c r="A17" s="6" t="s">
        <v>728</v>
      </c>
      <c r="B17" s="53" t="s">
        <v>729</v>
      </c>
      <c r="C17" s="54"/>
      <c r="D17" s="54"/>
      <c r="E17" s="54"/>
      <c r="F17" s="54"/>
      <c r="G17" s="54"/>
      <c r="H17" s="54"/>
      <c r="I17" s="54"/>
      <c r="J17" s="55"/>
    </row>
  </sheetData>
  <mergeCells count="6">
    <mergeCell ref="A14:J14"/>
    <mergeCell ref="B17:J17"/>
    <mergeCell ref="A15:J15"/>
    <mergeCell ref="A12:J12"/>
    <mergeCell ref="A13:J13"/>
    <mergeCell ref="B16:J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E8C99"/>
  </sheetPr>
  <dimension ref="A1:H19"/>
  <sheetViews>
    <sheetView showGridLines="0" zoomScale="90" workbookViewId="0">
      <pane ySplit="4" topLeftCell="A5" activePane="bottomLeft" state="frozen"/>
      <selection pane="bottomLeft"/>
    </sheetView>
  </sheetViews>
  <sheetFormatPr defaultRowHeight="15" x14ac:dyDescent="0.25"/>
  <cols>
    <col min="1" max="1" width="5" customWidth="1"/>
    <col min="2" max="2" width="16" customWidth="1"/>
    <col min="3" max="3" width="60" customWidth="1"/>
    <col min="4" max="4" width="52" customWidth="1"/>
    <col min="5" max="6" width="9" customWidth="1"/>
    <col min="7" max="7" width="18" customWidth="1"/>
    <col min="8" max="8" width="30" customWidth="1"/>
  </cols>
  <sheetData>
    <row r="1" spans="1:8" ht="26.1" customHeight="1" x14ac:dyDescent="0.3">
      <c r="A1" s="1" t="s">
        <v>730</v>
      </c>
    </row>
    <row r="2" spans="1:8" x14ac:dyDescent="0.25">
      <c r="A2" s="2" t="s">
        <v>731</v>
      </c>
    </row>
    <row r="4" spans="1:8" ht="30" customHeight="1" x14ac:dyDescent="0.25">
      <c r="A4" s="5" t="s">
        <v>732</v>
      </c>
      <c r="B4" s="5" t="s">
        <v>733</v>
      </c>
      <c r="C4" s="5" t="s">
        <v>734</v>
      </c>
      <c r="D4" s="5" t="s">
        <v>735</v>
      </c>
      <c r="E4" s="5" t="s">
        <v>736</v>
      </c>
      <c r="F4" s="5" t="s">
        <v>737</v>
      </c>
      <c r="G4" s="5" t="s">
        <v>461</v>
      </c>
      <c r="H4" s="5" t="s">
        <v>71</v>
      </c>
    </row>
    <row r="5" spans="1:8" ht="62.1" customHeight="1" x14ac:dyDescent="0.25">
      <c r="A5" s="7">
        <v>1</v>
      </c>
      <c r="B5" s="7" t="s">
        <v>738</v>
      </c>
      <c r="C5" s="7" t="s">
        <v>739</v>
      </c>
      <c r="D5" s="7" t="s">
        <v>740</v>
      </c>
      <c r="E5" s="39" t="s">
        <v>741</v>
      </c>
      <c r="F5" s="7" t="s">
        <v>742</v>
      </c>
      <c r="G5" s="7" t="s">
        <v>743</v>
      </c>
      <c r="H5" s="7" t="s">
        <v>744</v>
      </c>
    </row>
    <row r="6" spans="1:8" ht="62.1" customHeight="1" x14ac:dyDescent="0.25">
      <c r="A6" s="7">
        <v>2</v>
      </c>
      <c r="B6" s="7" t="s">
        <v>738</v>
      </c>
      <c r="C6" s="7" t="s">
        <v>745</v>
      </c>
      <c r="D6" s="7" t="s">
        <v>746</v>
      </c>
      <c r="E6" s="39" t="s">
        <v>741</v>
      </c>
      <c r="F6" s="7" t="s">
        <v>742</v>
      </c>
      <c r="G6" s="7" t="s">
        <v>743</v>
      </c>
      <c r="H6" s="7" t="s">
        <v>747</v>
      </c>
    </row>
    <row r="7" spans="1:8" ht="62.1" customHeight="1" x14ac:dyDescent="0.25">
      <c r="A7" s="7">
        <v>3</v>
      </c>
      <c r="B7" s="7" t="s">
        <v>748</v>
      </c>
      <c r="C7" s="7" t="s">
        <v>749</v>
      </c>
      <c r="D7" s="7" t="s">
        <v>750</v>
      </c>
      <c r="E7" s="39" t="s">
        <v>741</v>
      </c>
      <c r="F7" s="7" t="s">
        <v>751</v>
      </c>
      <c r="G7" s="7" t="s">
        <v>752</v>
      </c>
      <c r="H7" s="7" t="s">
        <v>753</v>
      </c>
    </row>
    <row r="8" spans="1:8" ht="62.1" customHeight="1" x14ac:dyDescent="0.25">
      <c r="A8" s="7">
        <v>4</v>
      </c>
      <c r="B8" s="7" t="s">
        <v>754</v>
      </c>
      <c r="C8" s="7" t="s">
        <v>755</v>
      </c>
      <c r="D8" s="7" t="s">
        <v>756</v>
      </c>
      <c r="E8" s="39" t="s">
        <v>741</v>
      </c>
      <c r="F8" s="7" t="s">
        <v>751</v>
      </c>
      <c r="G8" s="7" t="s">
        <v>757</v>
      </c>
      <c r="H8" s="7" t="s">
        <v>758</v>
      </c>
    </row>
    <row r="9" spans="1:8" ht="62.1" customHeight="1" x14ac:dyDescent="0.25">
      <c r="A9" s="7">
        <v>5</v>
      </c>
      <c r="B9" s="7" t="s">
        <v>754</v>
      </c>
      <c r="C9" s="7" t="s">
        <v>759</v>
      </c>
      <c r="D9" s="7" t="s">
        <v>760</v>
      </c>
      <c r="E9" s="39" t="s">
        <v>741</v>
      </c>
      <c r="F9" s="7" t="s">
        <v>751</v>
      </c>
      <c r="G9" s="7" t="s">
        <v>761</v>
      </c>
      <c r="H9" s="7" t="s">
        <v>762</v>
      </c>
    </row>
    <row r="10" spans="1:8" ht="62.1" customHeight="1" x14ac:dyDescent="0.25">
      <c r="A10" s="7">
        <v>6</v>
      </c>
      <c r="B10" s="7" t="s">
        <v>763</v>
      </c>
      <c r="C10" s="7" t="s">
        <v>764</v>
      </c>
      <c r="D10" s="7" t="s">
        <v>765</v>
      </c>
      <c r="E10" s="39" t="s">
        <v>741</v>
      </c>
      <c r="F10" s="7" t="s">
        <v>742</v>
      </c>
      <c r="G10" s="7" t="s">
        <v>766</v>
      </c>
      <c r="H10" s="7" t="s">
        <v>767</v>
      </c>
    </row>
    <row r="11" spans="1:8" ht="62.1" customHeight="1" x14ac:dyDescent="0.25">
      <c r="A11" s="7">
        <v>7</v>
      </c>
      <c r="B11" s="7" t="s">
        <v>768</v>
      </c>
      <c r="C11" s="7" t="s">
        <v>769</v>
      </c>
      <c r="D11" s="7" t="s">
        <v>770</v>
      </c>
      <c r="E11" s="40" t="s">
        <v>751</v>
      </c>
      <c r="F11" s="7" t="s">
        <v>742</v>
      </c>
      <c r="G11" s="7" t="s">
        <v>771</v>
      </c>
      <c r="H11" s="7" t="s">
        <v>772</v>
      </c>
    </row>
    <row r="12" spans="1:8" ht="62.1" customHeight="1" x14ac:dyDescent="0.25">
      <c r="A12" s="7">
        <v>8</v>
      </c>
      <c r="B12" s="7" t="s">
        <v>773</v>
      </c>
      <c r="C12" s="7" t="s">
        <v>774</v>
      </c>
      <c r="D12" s="7" t="s">
        <v>775</v>
      </c>
      <c r="E12" s="40" t="s">
        <v>751</v>
      </c>
      <c r="F12" s="7" t="s">
        <v>751</v>
      </c>
      <c r="G12" s="7" t="s">
        <v>776</v>
      </c>
      <c r="H12" s="7" t="s">
        <v>777</v>
      </c>
    </row>
    <row r="13" spans="1:8" ht="62.1" customHeight="1" x14ac:dyDescent="0.25">
      <c r="A13" s="7">
        <v>9</v>
      </c>
      <c r="B13" s="7" t="s">
        <v>778</v>
      </c>
      <c r="C13" s="7" t="s">
        <v>779</v>
      </c>
      <c r="D13" s="7" t="s">
        <v>780</v>
      </c>
      <c r="E13" s="40" t="s">
        <v>751</v>
      </c>
      <c r="F13" s="7" t="s">
        <v>751</v>
      </c>
      <c r="G13" s="7" t="s">
        <v>781</v>
      </c>
      <c r="H13" s="7" t="s">
        <v>782</v>
      </c>
    </row>
    <row r="14" spans="1:8" ht="62.1" customHeight="1" x14ac:dyDescent="0.25">
      <c r="A14" s="7">
        <v>10</v>
      </c>
      <c r="B14" s="7" t="s">
        <v>783</v>
      </c>
      <c r="C14" s="7" t="s">
        <v>784</v>
      </c>
      <c r="D14" s="7" t="s">
        <v>785</v>
      </c>
      <c r="E14" s="40" t="s">
        <v>751</v>
      </c>
      <c r="F14" s="7" t="s">
        <v>742</v>
      </c>
      <c r="G14" s="7" t="s">
        <v>743</v>
      </c>
      <c r="H14" s="7" t="s">
        <v>786</v>
      </c>
    </row>
    <row r="15" spans="1:8" ht="62.1" customHeight="1" x14ac:dyDescent="0.25">
      <c r="A15" s="7">
        <v>11</v>
      </c>
      <c r="B15" s="7" t="s">
        <v>787</v>
      </c>
      <c r="C15" s="7" t="s">
        <v>788</v>
      </c>
      <c r="D15" s="7" t="s">
        <v>789</v>
      </c>
      <c r="E15" s="40" t="s">
        <v>751</v>
      </c>
      <c r="F15" s="7" t="s">
        <v>742</v>
      </c>
      <c r="G15" s="7" t="s">
        <v>743</v>
      </c>
      <c r="H15" s="7" t="s">
        <v>790</v>
      </c>
    </row>
    <row r="16" spans="1:8" ht="62.1" customHeight="1" x14ac:dyDescent="0.25">
      <c r="A16" s="7">
        <v>12</v>
      </c>
      <c r="B16" s="7" t="s">
        <v>791</v>
      </c>
      <c r="C16" s="7" t="s">
        <v>792</v>
      </c>
      <c r="D16" s="7" t="s">
        <v>793</v>
      </c>
      <c r="E16" s="40" t="s">
        <v>751</v>
      </c>
      <c r="F16" s="7" t="s">
        <v>742</v>
      </c>
      <c r="G16" s="7" t="s">
        <v>743</v>
      </c>
      <c r="H16" s="7" t="s">
        <v>794</v>
      </c>
    </row>
    <row r="17" spans="1:8" ht="62.1" customHeight="1" x14ac:dyDescent="0.25">
      <c r="A17" s="7">
        <v>13</v>
      </c>
      <c r="B17" s="7" t="s">
        <v>795</v>
      </c>
      <c r="C17" s="7" t="s">
        <v>796</v>
      </c>
      <c r="D17" s="7" t="s">
        <v>797</v>
      </c>
      <c r="E17" s="40" t="s">
        <v>751</v>
      </c>
      <c r="F17" s="7" t="s">
        <v>742</v>
      </c>
      <c r="G17" s="7" t="s">
        <v>798</v>
      </c>
      <c r="H17" s="7" t="s">
        <v>799</v>
      </c>
    </row>
    <row r="18" spans="1:8" ht="62.1" customHeight="1" x14ac:dyDescent="0.25">
      <c r="A18" s="7">
        <v>14</v>
      </c>
      <c r="B18" s="7" t="s">
        <v>800</v>
      </c>
      <c r="C18" s="7" t="s">
        <v>801</v>
      </c>
      <c r="D18" s="7" t="s">
        <v>802</v>
      </c>
      <c r="E18" s="39" t="s">
        <v>741</v>
      </c>
      <c r="F18" s="7" t="s">
        <v>751</v>
      </c>
      <c r="G18" s="7" t="s">
        <v>752</v>
      </c>
      <c r="H18" s="7" t="s">
        <v>803</v>
      </c>
    </row>
    <row r="19" spans="1:8" ht="62.1" customHeight="1" x14ac:dyDescent="0.25">
      <c r="A19" s="7">
        <v>15</v>
      </c>
      <c r="B19" s="7" t="s">
        <v>804</v>
      </c>
      <c r="C19" s="7" t="s">
        <v>805</v>
      </c>
      <c r="D19" s="7" t="s">
        <v>806</v>
      </c>
      <c r="E19" s="40" t="s">
        <v>751</v>
      </c>
      <c r="F19" s="7" t="s">
        <v>742</v>
      </c>
      <c r="G19" s="7" t="s">
        <v>807</v>
      </c>
      <c r="H19" s="7" t="s">
        <v>808</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E8C99"/>
  </sheetPr>
  <dimension ref="A1:F45"/>
  <sheetViews>
    <sheetView showGridLines="0" zoomScale="90" workbookViewId="0"/>
  </sheetViews>
  <sheetFormatPr defaultRowHeight="15" x14ac:dyDescent="0.25"/>
  <cols>
    <col min="1" max="1" width="30" customWidth="1"/>
    <col min="2" max="5" width="16" customWidth="1"/>
    <col min="6" max="6" width="44" customWidth="1"/>
  </cols>
  <sheetData>
    <row r="1" spans="1:6" ht="26.1" customHeight="1" x14ac:dyDescent="0.3">
      <c r="A1" s="1" t="s">
        <v>809</v>
      </c>
    </row>
    <row r="2" spans="1:6" x14ac:dyDescent="0.25">
      <c r="A2" s="2" t="s">
        <v>810</v>
      </c>
    </row>
    <row r="4" spans="1:6" ht="20.100000000000001" customHeight="1" x14ac:dyDescent="0.25">
      <c r="A4" s="3" t="s">
        <v>811</v>
      </c>
      <c r="B4" s="4"/>
      <c r="C4" s="4"/>
      <c r="D4" s="4"/>
      <c r="E4" s="4"/>
      <c r="F4" s="4"/>
    </row>
    <row r="5" spans="1:6" ht="48" customHeight="1" x14ac:dyDescent="0.25">
      <c r="A5" s="51" t="s">
        <v>812</v>
      </c>
      <c r="B5" s="52"/>
      <c r="C5" s="52"/>
      <c r="D5" s="52"/>
      <c r="E5" s="52"/>
      <c r="F5" s="52"/>
    </row>
    <row r="6" spans="1:6" ht="48" customHeight="1" x14ac:dyDescent="0.25">
      <c r="A6" s="51" t="s">
        <v>813</v>
      </c>
      <c r="B6" s="52"/>
      <c r="C6" s="52"/>
      <c r="D6" s="52"/>
      <c r="E6" s="52"/>
      <c r="F6" s="52"/>
    </row>
    <row r="7" spans="1:6" ht="48" customHeight="1" x14ac:dyDescent="0.25">
      <c r="A7" s="51" t="s">
        <v>814</v>
      </c>
      <c r="B7" s="52"/>
      <c r="C7" s="52"/>
      <c r="D7" s="52"/>
      <c r="E7" s="52"/>
      <c r="F7" s="52"/>
    </row>
    <row r="8" spans="1:6" ht="48" customHeight="1" x14ac:dyDescent="0.25">
      <c r="A8" s="51" t="s">
        <v>815</v>
      </c>
      <c r="B8" s="52"/>
      <c r="C8" s="52"/>
      <c r="D8" s="52"/>
      <c r="E8" s="52"/>
      <c r="F8" s="52"/>
    </row>
    <row r="9" spans="1:6" ht="48" customHeight="1" x14ac:dyDescent="0.25">
      <c r="A9" s="51" t="s">
        <v>816</v>
      </c>
      <c r="B9" s="52"/>
      <c r="C9" s="52"/>
      <c r="D9" s="52"/>
      <c r="E9" s="52"/>
      <c r="F9" s="52"/>
    </row>
    <row r="11" spans="1:6" ht="20.100000000000001" customHeight="1" x14ac:dyDescent="0.25">
      <c r="A11" s="3" t="s">
        <v>817</v>
      </c>
      <c r="B11" s="4"/>
      <c r="C11" s="4"/>
      <c r="D11" s="4"/>
      <c r="E11" s="4"/>
      <c r="F11" s="4"/>
    </row>
    <row r="12" spans="1:6" ht="30" customHeight="1" x14ac:dyDescent="0.25">
      <c r="A12" s="5" t="s">
        <v>71</v>
      </c>
      <c r="B12" s="5" t="s">
        <v>818</v>
      </c>
      <c r="C12" s="5" t="s">
        <v>819</v>
      </c>
      <c r="D12" s="5" t="s">
        <v>820</v>
      </c>
      <c r="E12" s="5" t="s">
        <v>821</v>
      </c>
      <c r="F12" s="5" t="s">
        <v>822</v>
      </c>
    </row>
    <row r="13" spans="1:6" ht="25.5" x14ac:dyDescent="0.25">
      <c r="A13" s="6" t="s">
        <v>823</v>
      </c>
      <c r="B13" s="7" t="s">
        <v>824</v>
      </c>
      <c r="C13" s="7" t="s">
        <v>825</v>
      </c>
      <c r="D13" s="7" t="s">
        <v>826</v>
      </c>
      <c r="E13" s="7" t="s">
        <v>827</v>
      </c>
      <c r="F13" s="7" t="s">
        <v>828</v>
      </c>
    </row>
    <row r="14" spans="1:6" x14ac:dyDescent="0.25">
      <c r="A14" s="6" t="s">
        <v>94</v>
      </c>
      <c r="B14" s="7" t="s">
        <v>829</v>
      </c>
      <c r="C14" s="7" t="s">
        <v>830</v>
      </c>
      <c r="D14" s="7" t="s">
        <v>831</v>
      </c>
      <c r="E14" s="7" t="s">
        <v>832</v>
      </c>
      <c r="F14" s="7" t="s">
        <v>833</v>
      </c>
    </row>
    <row r="15" spans="1:6" x14ac:dyDescent="0.25">
      <c r="A15" s="6" t="s">
        <v>89</v>
      </c>
      <c r="B15" s="7" t="s">
        <v>834</v>
      </c>
      <c r="C15" s="7" t="s">
        <v>835</v>
      </c>
      <c r="D15" s="7" t="s">
        <v>836</v>
      </c>
      <c r="E15" s="7" t="s">
        <v>837</v>
      </c>
      <c r="F15" s="7" t="s">
        <v>838</v>
      </c>
    </row>
    <row r="16" spans="1:6" x14ac:dyDescent="0.25">
      <c r="A16" s="6" t="s">
        <v>74</v>
      </c>
      <c r="B16" s="7" t="s">
        <v>839</v>
      </c>
      <c r="C16" s="7" t="s">
        <v>840</v>
      </c>
      <c r="D16" s="7" t="s">
        <v>841</v>
      </c>
      <c r="E16" s="7" t="s">
        <v>842</v>
      </c>
      <c r="F16" s="7" t="s">
        <v>791</v>
      </c>
    </row>
    <row r="17" spans="1:6" ht="25.5" x14ac:dyDescent="0.25">
      <c r="A17" s="6" t="s">
        <v>843</v>
      </c>
      <c r="B17" s="7" t="s">
        <v>844</v>
      </c>
      <c r="C17" s="7" t="s">
        <v>845</v>
      </c>
      <c r="D17" s="7" t="s">
        <v>846</v>
      </c>
      <c r="E17" s="7" t="s">
        <v>847</v>
      </c>
      <c r="F17" s="7" t="s">
        <v>848</v>
      </c>
    </row>
    <row r="18" spans="1:6" ht="25.5" x14ac:dyDescent="0.25">
      <c r="A18" s="6" t="s">
        <v>849</v>
      </c>
      <c r="B18" s="7" t="s">
        <v>850</v>
      </c>
      <c r="C18" s="7" t="s">
        <v>404</v>
      </c>
      <c r="D18" s="7" t="s">
        <v>438</v>
      </c>
      <c r="E18" s="7" t="s">
        <v>421</v>
      </c>
      <c r="F18" s="7" t="s">
        <v>851</v>
      </c>
    </row>
    <row r="19" spans="1:6" ht="25.5" x14ac:dyDescent="0.25">
      <c r="A19" s="6" t="s">
        <v>852</v>
      </c>
      <c r="B19" s="7" t="s">
        <v>853</v>
      </c>
      <c r="C19" s="7" t="s">
        <v>854</v>
      </c>
      <c r="D19" s="7" t="s">
        <v>855</v>
      </c>
      <c r="E19" s="7" t="s">
        <v>856</v>
      </c>
      <c r="F19" s="7" t="s">
        <v>857</v>
      </c>
    </row>
    <row r="20" spans="1:6" x14ac:dyDescent="0.25">
      <c r="A20" s="6" t="s">
        <v>858</v>
      </c>
      <c r="B20" s="7" t="s">
        <v>859</v>
      </c>
      <c r="C20" s="7" t="s">
        <v>860</v>
      </c>
      <c r="D20" s="7" t="s">
        <v>861</v>
      </c>
      <c r="E20" s="7" t="s">
        <v>862</v>
      </c>
      <c r="F20" s="7" t="s">
        <v>838</v>
      </c>
    </row>
    <row r="22" spans="1:6" ht="20.100000000000001" customHeight="1" x14ac:dyDescent="0.25">
      <c r="A22" s="3" t="s">
        <v>863</v>
      </c>
      <c r="B22" s="4"/>
      <c r="C22" s="4"/>
      <c r="D22" s="4"/>
      <c r="E22" s="4"/>
      <c r="F22" s="4"/>
    </row>
    <row r="23" spans="1:6" ht="30" customHeight="1" x14ac:dyDescent="0.25">
      <c r="A23" s="5" t="s">
        <v>864</v>
      </c>
      <c r="B23" s="5" t="s">
        <v>865</v>
      </c>
      <c r="C23" s="5" t="s">
        <v>866</v>
      </c>
      <c r="D23" s="5"/>
      <c r="E23" s="5" t="s">
        <v>461</v>
      </c>
      <c r="F23" s="5" t="s">
        <v>867</v>
      </c>
    </row>
    <row r="24" spans="1:6" ht="48" customHeight="1" x14ac:dyDescent="0.25">
      <c r="A24" s="7" t="s">
        <v>868</v>
      </c>
      <c r="B24" s="7" t="s">
        <v>869</v>
      </c>
      <c r="C24" s="53" t="s">
        <v>870</v>
      </c>
      <c r="D24" s="55"/>
      <c r="E24" s="7" t="s">
        <v>743</v>
      </c>
      <c r="F24" s="7" t="s">
        <v>871</v>
      </c>
    </row>
    <row r="25" spans="1:6" ht="48" customHeight="1" x14ac:dyDescent="0.25">
      <c r="A25" s="7" t="s">
        <v>868</v>
      </c>
      <c r="B25" s="7" t="s">
        <v>869</v>
      </c>
      <c r="C25" s="53" t="s">
        <v>872</v>
      </c>
      <c r="D25" s="55"/>
      <c r="E25" s="7" t="s">
        <v>743</v>
      </c>
      <c r="F25" s="7" t="s">
        <v>873</v>
      </c>
    </row>
    <row r="26" spans="1:6" ht="48" customHeight="1" x14ac:dyDescent="0.25">
      <c r="A26" s="7" t="s">
        <v>868</v>
      </c>
      <c r="B26" s="7" t="s">
        <v>874</v>
      </c>
      <c r="C26" s="53" t="s">
        <v>875</v>
      </c>
      <c r="D26" s="55"/>
      <c r="E26" s="7" t="s">
        <v>776</v>
      </c>
      <c r="F26" s="7" t="s">
        <v>876</v>
      </c>
    </row>
    <row r="27" spans="1:6" ht="48" customHeight="1" x14ac:dyDescent="0.25">
      <c r="A27" s="7" t="s">
        <v>868</v>
      </c>
      <c r="B27" s="7" t="s">
        <v>877</v>
      </c>
      <c r="C27" s="53" t="s">
        <v>878</v>
      </c>
      <c r="D27" s="55"/>
      <c r="E27" s="7" t="s">
        <v>879</v>
      </c>
      <c r="F27" s="7" t="s">
        <v>880</v>
      </c>
    </row>
    <row r="28" spans="1:6" ht="48" customHeight="1" x14ac:dyDescent="0.25">
      <c r="A28" s="7" t="s">
        <v>868</v>
      </c>
      <c r="B28" s="7" t="s">
        <v>881</v>
      </c>
      <c r="C28" s="53" t="s">
        <v>882</v>
      </c>
      <c r="D28" s="55"/>
      <c r="E28" s="7" t="s">
        <v>766</v>
      </c>
      <c r="F28" s="7" t="s">
        <v>883</v>
      </c>
    </row>
    <row r="29" spans="1:6" ht="48" customHeight="1" x14ac:dyDescent="0.25">
      <c r="A29" s="7" t="s">
        <v>884</v>
      </c>
      <c r="B29" s="7" t="s">
        <v>885</v>
      </c>
      <c r="C29" s="53" t="s">
        <v>886</v>
      </c>
      <c r="D29" s="55"/>
      <c r="E29" s="7" t="s">
        <v>781</v>
      </c>
      <c r="F29" s="7" t="s">
        <v>887</v>
      </c>
    </row>
    <row r="30" spans="1:6" ht="48" customHeight="1" x14ac:dyDescent="0.25">
      <c r="A30" s="7" t="s">
        <v>884</v>
      </c>
      <c r="B30" s="7" t="s">
        <v>885</v>
      </c>
      <c r="C30" s="53" t="s">
        <v>888</v>
      </c>
      <c r="D30" s="55"/>
      <c r="E30" s="7" t="s">
        <v>752</v>
      </c>
      <c r="F30" s="7" t="s">
        <v>889</v>
      </c>
    </row>
    <row r="31" spans="1:6" ht="48" customHeight="1" x14ac:dyDescent="0.25">
      <c r="A31" s="7" t="s">
        <v>884</v>
      </c>
      <c r="B31" s="7" t="s">
        <v>890</v>
      </c>
      <c r="C31" s="53" t="s">
        <v>891</v>
      </c>
      <c r="D31" s="55"/>
      <c r="E31" s="7" t="s">
        <v>743</v>
      </c>
      <c r="F31" s="7" t="s">
        <v>892</v>
      </c>
    </row>
    <row r="32" spans="1:6" ht="48" customHeight="1" x14ac:dyDescent="0.25">
      <c r="A32" s="7" t="s">
        <v>884</v>
      </c>
      <c r="B32" s="7" t="s">
        <v>893</v>
      </c>
      <c r="C32" s="53" t="s">
        <v>894</v>
      </c>
      <c r="D32" s="55"/>
      <c r="E32" s="7" t="s">
        <v>807</v>
      </c>
      <c r="F32" s="7" t="s">
        <v>895</v>
      </c>
    </row>
    <row r="33" spans="1:6" ht="48" customHeight="1" x14ac:dyDescent="0.25">
      <c r="A33" s="7" t="s">
        <v>896</v>
      </c>
      <c r="B33" s="7" t="s">
        <v>897</v>
      </c>
      <c r="C33" s="53" t="s">
        <v>898</v>
      </c>
      <c r="D33" s="55"/>
      <c r="E33" s="7" t="s">
        <v>899</v>
      </c>
      <c r="F33" s="7" t="s">
        <v>900</v>
      </c>
    </row>
    <row r="34" spans="1:6" ht="48" customHeight="1" x14ac:dyDescent="0.25">
      <c r="A34" s="7" t="s">
        <v>896</v>
      </c>
      <c r="B34" s="7" t="s">
        <v>897</v>
      </c>
      <c r="C34" s="53" t="s">
        <v>901</v>
      </c>
      <c r="D34" s="55"/>
      <c r="E34" s="7" t="s">
        <v>902</v>
      </c>
      <c r="F34" s="7" t="s">
        <v>903</v>
      </c>
    </row>
    <row r="35" spans="1:6" ht="48" customHeight="1" x14ac:dyDescent="0.25">
      <c r="A35" s="7" t="s">
        <v>896</v>
      </c>
      <c r="B35" s="7" t="s">
        <v>904</v>
      </c>
      <c r="C35" s="53" t="s">
        <v>905</v>
      </c>
      <c r="D35" s="55"/>
      <c r="E35" s="7" t="s">
        <v>807</v>
      </c>
      <c r="F35" s="7" t="s">
        <v>906</v>
      </c>
    </row>
    <row r="37" spans="1:6" ht="20.100000000000001" customHeight="1" x14ac:dyDescent="0.25">
      <c r="A37" s="3" t="s">
        <v>907</v>
      </c>
      <c r="B37" s="4"/>
      <c r="C37" s="4"/>
      <c r="D37" s="4"/>
      <c r="E37" s="4"/>
      <c r="F37" s="4"/>
    </row>
    <row r="38" spans="1:6" ht="30" customHeight="1" x14ac:dyDescent="0.25">
      <c r="A38" s="5" t="s">
        <v>124</v>
      </c>
      <c r="B38" s="5" t="s">
        <v>99</v>
      </c>
      <c r="C38" s="5" t="s">
        <v>908</v>
      </c>
      <c r="D38" s="5" t="s">
        <v>909</v>
      </c>
      <c r="E38" s="5"/>
      <c r="F38" s="5" t="s">
        <v>910</v>
      </c>
    </row>
    <row r="39" spans="1:6" ht="30" customHeight="1" x14ac:dyDescent="0.25">
      <c r="A39" s="6" t="s">
        <v>126</v>
      </c>
      <c r="B39" s="7" t="s">
        <v>911</v>
      </c>
      <c r="C39" s="7" t="s">
        <v>912</v>
      </c>
      <c r="D39" s="53" t="s">
        <v>913</v>
      </c>
      <c r="E39" s="55"/>
      <c r="F39" s="7" t="s">
        <v>914</v>
      </c>
    </row>
    <row r="40" spans="1:6" ht="30" customHeight="1" x14ac:dyDescent="0.25">
      <c r="A40" s="6" t="s">
        <v>128</v>
      </c>
      <c r="B40" s="7" t="s">
        <v>915</v>
      </c>
      <c r="C40" s="7" t="s">
        <v>916</v>
      </c>
      <c r="D40" s="53" t="s">
        <v>917</v>
      </c>
      <c r="E40" s="55"/>
      <c r="F40" s="7" t="s">
        <v>918</v>
      </c>
    </row>
    <row r="41" spans="1:6" ht="30" customHeight="1" x14ac:dyDescent="0.25">
      <c r="A41" s="6" t="s">
        <v>130</v>
      </c>
      <c r="B41" s="7" t="s">
        <v>109</v>
      </c>
      <c r="C41" s="7" t="s">
        <v>919</v>
      </c>
      <c r="D41" s="53" t="s">
        <v>920</v>
      </c>
      <c r="E41" s="55"/>
      <c r="F41" s="7" t="s">
        <v>918</v>
      </c>
    </row>
    <row r="42" spans="1:6" ht="30" customHeight="1" x14ac:dyDescent="0.25">
      <c r="A42" s="6" t="s">
        <v>132</v>
      </c>
      <c r="B42" s="7" t="s">
        <v>915</v>
      </c>
      <c r="C42" s="7" t="s">
        <v>921</v>
      </c>
      <c r="D42" s="53" t="s">
        <v>922</v>
      </c>
      <c r="E42" s="55"/>
      <c r="F42" s="7" t="s">
        <v>918</v>
      </c>
    </row>
    <row r="43" spans="1:6" ht="30" customHeight="1" x14ac:dyDescent="0.25">
      <c r="A43" s="6" t="s">
        <v>134</v>
      </c>
      <c r="B43" s="7" t="s">
        <v>923</v>
      </c>
      <c r="C43" s="7" t="s">
        <v>924</v>
      </c>
      <c r="D43" s="53" t="s">
        <v>925</v>
      </c>
      <c r="E43" s="55"/>
      <c r="F43" s="7" t="s">
        <v>918</v>
      </c>
    </row>
    <row r="44" spans="1:6" ht="30" customHeight="1" x14ac:dyDescent="0.25">
      <c r="A44" s="6" t="s">
        <v>136</v>
      </c>
      <c r="B44" s="7" t="s">
        <v>915</v>
      </c>
      <c r="C44" s="7" t="s">
        <v>926</v>
      </c>
      <c r="D44" s="53" t="s">
        <v>927</v>
      </c>
      <c r="E44" s="55"/>
      <c r="F44" s="7" t="s">
        <v>918</v>
      </c>
    </row>
    <row r="45" spans="1:6" ht="30" customHeight="1" x14ac:dyDescent="0.25">
      <c r="A45" s="6" t="s">
        <v>137</v>
      </c>
      <c r="B45" s="7" t="s">
        <v>928</v>
      </c>
      <c r="C45" s="7" t="s">
        <v>929</v>
      </c>
      <c r="D45" s="53" t="s">
        <v>930</v>
      </c>
      <c r="E45" s="55"/>
      <c r="F45" s="7" t="s">
        <v>914</v>
      </c>
    </row>
  </sheetData>
  <mergeCells count="24">
    <mergeCell ref="D44:E44"/>
    <mergeCell ref="A7:F7"/>
    <mergeCell ref="D45:E45"/>
    <mergeCell ref="C35:D35"/>
    <mergeCell ref="C29:D29"/>
    <mergeCell ref="C25:D25"/>
    <mergeCell ref="A5:F5"/>
    <mergeCell ref="A8:F8"/>
    <mergeCell ref="D41:E41"/>
    <mergeCell ref="C31:D31"/>
    <mergeCell ref="D43:E43"/>
    <mergeCell ref="C27:D27"/>
    <mergeCell ref="A9:F9"/>
    <mergeCell ref="D39:E39"/>
    <mergeCell ref="C32:D32"/>
    <mergeCell ref="D42:E42"/>
    <mergeCell ref="A6:F6"/>
    <mergeCell ref="C28:D28"/>
    <mergeCell ref="C34:D34"/>
    <mergeCell ref="C24:D24"/>
    <mergeCell ref="C30:D30"/>
    <mergeCell ref="C33:D33"/>
    <mergeCell ref="D40:E40"/>
    <mergeCell ref="C26:D2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7324D"/>
  </sheetPr>
  <dimension ref="A1:I53"/>
  <sheetViews>
    <sheetView showGridLines="0" zoomScale="90" workbookViewId="0"/>
  </sheetViews>
  <sheetFormatPr defaultRowHeight="15" x14ac:dyDescent="0.25"/>
  <cols>
    <col min="1" max="1" width="26" customWidth="1"/>
    <col min="2" max="5" width="13" customWidth="1"/>
    <col min="6" max="6" width="14" customWidth="1"/>
    <col min="7" max="8" width="16" customWidth="1"/>
    <col min="9" max="9" width="18" customWidth="1"/>
  </cols>
  <sheetData>
    <row r="1" spans="1:9" ht="26.1" customHeight="1" x14ac:dyDescent="0.3">
      <c r="A1" s="1" t="s">
        <v>931</v>
      </c>
    </row>
    <row r="2" spans="1:9" x14ac:dyDescent="0.25">
      <c r="A2" s="2" t="s">
        <v>932</v>
      </c>
    </row>
    <row r="4" spans="1:9" ht="20.100000000000001" customHeight="1" x14ac:dyDescent="0.25">
      <c r="A4" s="3" t="s">
        <v>933</v>
      </c>
      <c r="B4" s="4"/>
      <c r="C4" s="4"/>
      <c r="D4" s="4"/>
      <c r="E4" s="4"/>
      <c r="F4" s="4"/>
      <c r="G4" s="4"/>
      <c r="H4" s="4"/>
      <c r="I4" s="4"/>
    </row>
    <row r="5" spans="1:9" ht="30" customHeight="1" x14ac:dyDescent="0.25">
      <c r="A5" s="5"/>
      <c r="B5" s="5" t="s">
        <v>934</v>
      </c>
      <c r="C5" s="5" t="s">
        <v>935</v>
      </c>
      <c r="D5" s="5" t="s">
        <v>936</v>
      </c>
      <c r="E5" s="5" t="s">
        <v>937</v>
      </c>
      <c r="F5" s="5"/>
      <c r="G5" s="5"/>
      <c r="H5" s="5"/>
      <c r="I5" s="5"/>
    </row>
    <row r="6" spans="1:9" x14ac:dyDescent="0.25">
      <c r="A6" s="6" t="s">
        <v>938</v>
      </c>
      <c r="B6" s="13">
        <v>53</v>
      </c>
      <c r="C6" s="13">
        <v>87.5</v>
      </c>
      <c r="D6" s="13">
        <v>62</v>
      </c>
      <c r="E6" s="13">
        <v>61</v>
      </c>
      <c r="F6" s="7"/>
      <c r="G6" s="7"/>
      <c r="H6" s="7"/>
      <c r="I6" s="7"/>
    </row>
    <row r="7" spans="1:9" ht="48" x14ac:dyDescent="0.25">
      <c r="A7" s="6" t="s">
        <v>939</v>
      </c>
      <c r="B7" s="13">
        <v>23.5</v>
      </c>
      <c r="C7" s="13">
        <v>39.5</v>
      </c>
      <c r="D7" s="13">
        <v>57</v>
      </c>
      <c r="E7" s="13">
        <v>74</v>
      </c>
      <c r="F7" s="41" t="s">
        <v>940</v>
      </c>
      <c r="G7" s="7"/>
      <c r="H7" s="7"/>
      <c r="I7" s="7"/>
    </row>
    <row r="9" spans="1:9" ht="20.100000000000001" customHeight="1" x14ac:dyDescent="0.25">
      <c r="A9" s="3" t="s">
        <v>941</v>
      </c>
      <c r="B9" s="4"/>
      <c r="C9" s="4"/>
      <c r="D9" s="4"/>
      <c r="E9" s="4"/>
      <c r="F9" s="4"/>
      <c r="G9" s="4"/>
      <c r="H9" s="4"/>
      <c r="I9" s="4"/>
    </row>
    <row r="10" spans="1:9" ht="30" customHeight="1" x14ac:dyDescent="0.25">
      <c r="A10" s="5" t="s">
        <v>942</v>
      </c>
      <c r="B10" s="5" t="s">
        <v>934</v>
      </c>
      <c r="C10" s="5" t="s">
        <v>935</v>
      </c>
      <c r="D10" s="5" t="s">
        <v>936</v>
      </c>
      <c r="E10" s="5" t="s">
        <v>937</v>
      </c>
      <c r="F10" s="5" t="s">
        <v>943</v>
      </c>
      <c r="G10" s="5" t="s">
        <v>944</v>
      </c>
      <c r="H10" s="5" t="s">
        <v>945</v>
      </c>
      <c r="I10" s="5" t="s">
        <v>946</v>
      </c>
    </row>
    <row r="11" spans="1:9" x14ac:dyDescent="0.25">
      <c r="A11" s="6" t="s">
        <v>947</v>
      </c>
      <c r="B11" s="38">
        <v>0.68</v>
      </c>
      <c r="C11" s="38">
        <v>0.8</v>
      </c>
      <c r="D11" s="38">
        <v>0.74</v>
      </c>
      <c r="E11" s="38">
        <v>0.56999999999999995</v>
      </c>
      <c r="F11" s="38">
        <v>0.71</v>
      </c>
      <c r="G11" s="14">
        <f t="shared" ref="G11:G21" si="0">SUMPRODUCT(B11:E11,$B$6:$E$6)</f>
        <v>186.69</v>
      </c>
      <c r="H11" s="14">
        <f t="shared" ref="H11:H21" si="1">SUMPRODUCT(B11:E11,$B$6:$E$6,$B$7:$E$7)/SUMPRODUCT(B11:E11,$B$6:$E$6)</f>
        <v>47.1373935400932</v>
      </c>
      <c r="I11" s="18">
        <f t="shared" ref="I11:I21" si="2">(D11*$D$6+E11*$E$6)/SUMPRODUCT(B11:E11,$B$6:$E$6)</f>
        <v>0.43199957148213619</v>
      </c>
    </row>
    <row r="12" spans="1:9" x14ac:dyDescent="0.25">
      <c r="A12" s="6" t="s">
        <v>948</v>
      </c>
      <c r="B12" s="38">
        <v>0.95</v>
      </c>
      <c r="C12" s="38">
        <v>0.92</v>
      </c>
      <c r="D12" s="38">
        <v>0.85</v>
      </c>
      <c r="E12" s="38">
        <v>0.64</v>
      </c>
      <c r="F12" s="38">
        <v>0.84</v>
      </c>
      <c r="G12" s="14">
        <f t="shared" si="0"/>
        <v>222.58999999999997</v>
      </c>
      <c r="H12" s="14">
        <f t="shared" si="1"/>
        <v>46.075003369423605</v>
      </c>
      <c r="I12" s="18">
        <f t="shared" si="2"/>
        <v>0.41214789523338874</v>
      </c>
    </row>
    <row r="13" spans="1:9" x14ac:dyDescent="0.25">
      <c r="A13" s="6" t="s">
        <v>949</v>
      </c>
      <c r="B13" s="38">
        <v>0.37</v>
      </c>
      <c r="C13" s="38">
        <v>0.4</v>
      </c>
      <c r="D13" s="38">
        <v>0.3</v>
      </c>
      <c r="E13" s="38">
        <v>0.2</v>
      </c>
      <c r="F13" s="38">
        <v>0.32</v>
      </c>
      <c r="G13" s="14">
        <f t="shared" si="0"/>
        <v>85.41</v>
      </c>
      <c r="H13" s="14">
        <f t="shared" si="1"/>
        <v>44.56544901065449</v>
      </c>
      <c r="I13" s="18">
        <f t="shared" si="2"/>
        <v>0.36061351129844277</v>
      </c>
    </row>
    <row r="14" spans="1:9" ht="25.5" x14ac:dyDescent="0.25">
      <c r="A14" s="6" t="s">
        <v>950</v>
      </c>
      <c r="B14" s="38">
        <v>0.45</v>
      </c>
      <c r="C14" s="38">
        <v>0.4</v>
      </c>
      <c r="D14" s="38">
        <v>0.33</v>
      </c>
      <c r="E14" s="38">
        <v>0.21</v>
      </c>
      <c r="F14" s="38">
        <v>0.35</v>
      </c>
      <c r="G14" s="14">
        <f t="shared" si="0"/>
        <v>92.12</v>
      </c>
      <c r="H14" s="14">
        <f t="shared" si="1"/>
        <v>44.041847590099863</v>
      </c>
      <c r="I14" s="18">
        <f t="shared" si="2"/>
        <v>0.36115935735996518</v>
      </c>
    </row>
    <row r="15" spans="1:9" ht="25.5" x14ac:dyDescent="0.25">
      <c r="A15" s="6" t="s">
        <v>951</v>
      </c>
      <c r="B15" s="38">
        <v>0.32</v>
      </c>
      <c r="C15" s="38">
        <v>0.4</v>
      </c>
      <c r="D15" s="38">
        <v>0.31</v>
      </c>
      <c r="E15" s="38">
        <v>0.12</v>
      </c>
      <c r="F15" s="38">
        <v>0.3</v>
      </c>
      <c r="G15" s="14">
        <f t="shared" si="0"/>
        <v>78.5</v>
      </c>
      <c r="H15" s="14">
        <f t="shared" si="1"/>
        <v>43.54496815286624</v>
      </c>
      <c r="I15" s="18">
        <f t="shared" si="2"/>
        <v>0.33808917197452226</v>
      </c>
    </row>
    <row r="16" spans="1:9" x14ac:dyDescent="0.25">
      <c r="A16" s="6" t="s">
        <v>952</v>
      </c>
      <c r="B16" s="38">
        <v>0.33</v>
      </c>
      <c r="C16" s="38">
        <v>0.25</v>
      </c>
      <c r="D16" s="38">
        <v>0.16</v>
      </c>
      <c r="E16" s="38">
        <v>0.1</v>
      </c>
      <c r="F16" s="38">
        <v>0.21</v>
      </c>
      <c r="G16" s="14">
        <f t="shared" si="0"/>
        <v>55.385000000000005</v>
      </c>
      <c r="H16" s="14">
        <f t="shared" si="1"/>
        <v>41.381556378080703</v>
      </c>
      <c r="I16" s="18">
        <f t="shared" si="2"/>
        <v>0.28924799133339346</v>
      </c>
    </row>
    <row r="17" spans="1:9" x14ac:dyDescent="0.25">
      <c r="A17" s="6" t="s">
        <v>953</v>
      </c>
      <c r="B17" s="38">
        <v>0.8</v>
      </c>
      <c r="C17" s="38">
        <v>0.62</v>
      </c>
      <c r="D17" s="38">
        <v>0.4</v>
      </c>
      <c r="E17" s="38">
        <v>0.19</v>
      </c>
      <c r="F17" s="38">
        <v>0.5</v>
      </c>
      <c r="G17" s="14">
        <f t="shared" si="0"/>
        <v>133.04</v>
      </c>
      <c r="H17" s="14">
        <f t="shared" si="1"/>
        <v>40.668483162958509</v>
      </c>
      <c r="I17" s="18">
        <f t="shared" si="2"/>
        <v>0.27352675886951294</v>
      </c>
    </row>
    <row r="18" spans="1:9" x14ac:dyDescent="0.25">
      <c r="A18" s="6" t="s">
        <v>954</v>
      </c>
      <c r="B18" s="38">
        <v>0.63</v>
      </c>
      <c r="C18" s="38">
        <v>0.44</v>
      </c>
      <c r="D18" s="38">
        <v>0.3</v>
      </c>
      <c r="E18" s="38">
        <v>0.12</v>
      </c>
      <c r="F18" s="38">
        <v>0.37</v>
      </c>
      <c r="G18" s="14">
        <f t="shared" si="0"/>
        <v>97.809999999999988</v>
      </c>
      <c r="H18" s="14">
        <f t="shared" si="1"/>
        <v>39.947806972702182</v>
      </c>
      <c r="I18" s="18">
        <f t="shared" si="2"/>
        <v>0.26500357836622024</v>
      </c>
    </row>
    <row r="19" spans="1:9" x14ac:dyDescent="0.25">
      <c r="A19" s="6" t="s">
        <v>955</v>
      </c>
      <c r="B19" s="38">
        <v>0.15</v>
      </c>
      <c r="C19" s="38">
        <v>0.1</v>
      </c>
      <c r="D19" s="38">
        <v>0.06</v>
      </c>
      <c r="E19" s="38">
        <v>0.03</v>
      </c>
      <c r="F19" s="38">
        <v>0.08</v>
      </c>
      <c r="G19" s="14">
        <f t="shared" si="0"/>
        <v>22.249999999999996</v>
      </c>
      <c r="H19" s="14">
        <f t="shared" si="1"/>
        <v>39.546516853932587</v>
      </c>
      <c r="I19" s="18">
        <f t="shared" si="2"/>
        <v>0.24943820224719104</v>
      </c>
    </row>
    <row r="20" spans="1:9" x14ac:dyDescent="0.25">
      <c r="A20" s="6" t="s">
        <v>956</v>
      </c>
      <c r="B20" s="38">
        <v>0.48</v>
      </c>
      <c r="C20" s="38">
        <v>0.35</v>
      </c>
      <c r="D20" s="38">
        <v>0.16</v>
      </c>
      <c r="E20" s="38">
        <v>0.06</v>
      </c>
      <c r="F20" s="38">
        <v>0.26</v>
      </c>
      <c r="G20" s="14">
        <f t="shared" si="0"/>
        <v>69.644999999999996</v>
      </c>
      <c r="H20" s="14">
        <f t="shared" si="1"/>
        <v>37.961196065762081</v>
      </c>
      <c r="I20" s="18">
        <f t="shared" si="2"/>
        <v>0.19498887213726759</v>
      </c>
    </row>
    <row r="21" spans="1:9" x14ac:dyDescent="0.25">
      <c r="A21" s="6" t="s">
        <v>957</v>
      </c>
      <c r="B21" s="38">
        <v>0.57999999999999996</v>
      </c>
      <c r="C21" s="38">
        <v>0.31</v>
      </c>
      <c r="D21" s="38">
        <v>0.13</v>
      </c>
      <c r="E21" s="38">
        <v>0.04</v>
      </c>
      <c r="F21" s="38">
        <v>0.25</v>
      </c>
      <c r="G21" s="14">
        <f t="shared" si="0"/>
        <v>68.364999999999995</v>
      </c>
      <c r="H21" s="14">
        <f t="shared" si="1"/>
        <v>35.600197469465371</v>
      </c>
      <c r="I21" s="18">
        <f t="shared" si="2"/>
        <v>0.15358736195421635</v>
      </c>
    </row>
    <row r="22" spans="1:9" ht="26.1" customHeight="1" x14ac:dyDescent="0.25">
      <c r="A22" s="56" t="s">
        <v>958</v>
      </c>
      <c r="B22" s="52"/>
      <c r="C22" s="52"/>
      <c r="D22" s="52"/>
      <c r="E22" s="52"/>
      <c r="F22" s="52"/>
      <c r="G22" s="52"/>
      <c r="H22" s="52"/>
      <c r="I22" s="52"/>
    </row>
    <row r="24" spans="1:9" ht="20.100000000000001" customHeight="1" x14ac:dyDescent="0.25">
      <c r="A24" s="3" t="s">
        <v>959</v>
      </c>
      <c r="B24" s="4"/>
      <c r="C24" s="4"/>
      <c r="D24" s="4"/>
      <c r="E24" s="4"/>
      <c r="F24" s="4"/>
      <c r="G24" s="4"/>
      <c r="H24" s="4"/>
      <c r="I24" s="4"/>
    </row>
    <row r="25" spans="1:9" ht="30" customHeight="1" x14ac:dyDescent="0.25">
      <c r="A25" s="5" t="s">
        <v>942</v>
      </c>
      <c r="B25" s="5" t="s">
        <v>960</v>
      </c>
      <c r="C25" s="5"/>
      <c r="D25" s="5" t="s">
        <v>961</v>
      </c>
      <c r="E25" s="5"/>
      <c r="F25" s="5" t="s">
        <v>962</v>
      </c>
      <c r="G25" s="5" t="s">
        <v>963</v>
      </c>
      <c r="H25" s="5" t="s">
        <v>964</v>
      </c>
      <c r="I25" s="5" t="s">
        <v>965</v>
      </c>
    </row>
    <row r="26" spans="1:9" ht="95.1" customHeight="1" x14ac:dyDescent="0.25">
      <c r="A26" s="6" t="s">
        <v>947</v>
      </c>
      <c r="B26" s="53" t="s">
        <v>966</v>
      </c>
      <c r="C26" s="55"/>
      <c r="D26" s="53" t="s">
        <v>967</v>
      </c>
      <c r="E26" s="55"/>
      <c r="F26" s="7" t="s">
        <v>968</v>
      </c>
      <c r="G26" s="7" t="s">
        <v>969</v>
      </c>
      <c r="H26" s="7" t="s">
        <v>970</v>
      </c>
      <c r="I26" s="7" t="s">
        <v>971</v>
      </c>
    </row>
    <row r="27" spans="1:9" ht="95.1" customHeight="1" x14ac:dyDescent="0.25">
      <c r="A27" s="6" t="s">
        <v>948</v>
      </c>
      <c r="B27" s="53" t="s">
        <v>972</v>
      </c>
      <c r="C27" s="55"/>
      <c r="D27" s="53" t="s">
        <v>973</v>
      </c>
      <c r="E27" s="55"/>
      <c r="F27" s="7" t="s">
        <v>974</v>
      </c>
      <c r="G27" s="7" t="s">
        <v>975</v>
      </c>
      <c r="H27" s="7" t="s">
        <v>976</v>
      </c>
      <c r="I27" s="7" t="s">
        <v>977</v>
      </c>
    </row>
    <row r="28" spans="1:9" ht="95.1" customHeight="1" x14ac:dyDescent="0.25">
      <c r="A28" s="6" t="s">
        <v>953</v>
      </c>
      <c r="B28" s="53" t="s">
        <v>978</v>
      </c>
      <c r="C28" s="55"/>
      <c r="D28" s="53" t="s">
        <v>979</v>
      </c>
      <c r="E28" s="55"/>
      <c r="F28" s="7" t="s">
        <v>980</v>
      </c>
      <c r="G28" s="7" t="s">
        <v>981</v>
      </c>
      <c r="H28" s="7" t="s">
        <v>982</v>
      </c>
      <c r="I28" s="7" t="s">
        <v>983</v>
      </c>
    </row>
    <row r="29" spans="1:9" ht="95.1" customHeight="1" x14ac:dyDescent="0.25">
      <c r="A29" s="6" t="s">
        <v>954</v>
      </c>
      <c r="B29" s="53" t="s">
        <v>984</v>
      </c>
      <c r="C29" s="55"/>
      <c r="D29" s="53" t="s">
        <v>985</v>
      </c>
      <c r="E29" s="55"/>
      <c r="F29" s="7" t="s">
        <v>986</v>
      </c>
      <c r="G29" s="7" t="s">
        <v>987</v>
      </c>
      <c r="H29" s="7" t="s">
        <v>988</v>
      </c>
      <c r="I29" s="7" t="s">
        <v>989</v>
      </c>
    </row>
    <row r="30" spans="1:9" ht="95.1" customHeight="1" x14ac:dyDescent="0.25">
      <c r="A30" s="6" t="s">
        <v>990</v>
      </c>
      <c r="B30" s="53" t="s">
        <v>991</v>
      </c>
      <c r="C30" s="55"/>
      <c r="D30" s="53" t="s">
        <v>992</v>
      </c>
      <c r="E30" s="55"/>
      <c r="F30" s="7" t="s">
        <v>993</v>
      </c>
      <c r="G30" s="7" t="s">
        <v>994</v>
      </c>
      <c r="H30" s="7" t="s">
        <v>995</v>
      </c>
      <c r="I30" s="7" t="s">
        <v>996</v>
      </c>
    </row>
    <row r="31" spans="1:9" ht="95.1" customHeight="1" x14ac:dyDescent="0.25">
      <c r="A31" s="6" t="s">
        <v>997</v>
      </c>
      <c r="B31" s="53" t="s">
        <v>998</v>
      </c>
      <c r="C31" s="55"/>
      <c r="D31" s="53" t="s">
        <v>999</v>
      </c>
      <c r="E31" s="55"/>
      <c r="F31" s="7" t="s">
        <v>1000</v>
      </c>
      <c r="G31" s="7" t="s">
        <v>1001</v>
      </c>
      <c r="H31" s="7" t="s">
        <v>1002</v>
      </c>
      <c r="I31" s="7" t="s">
        <v>1003</v>
      </c>
    </row>
    <row r="32" spans="1:9" ht="95.1" customHeight="1" x14ac:dyDescent="0.25">
      <c r="A32" s="6" t="s">
        <v>949</v>
      </c>
      <c r="B32" s="53" t="s">
        <v>1004</v>
      </c>
      <c r="C32" s="55"/>
      <c r="D32" s="53" t="s">
        <v>1005</v>
      </c>
      <c r="E32" s="55"/>
      <c r="F32" s="7" t="s">
        <v>110</v>
      </c>
      <c r="G32" s="7" t="s">
        <v>1006</v>
      </c>
      <c r="H32" s="7" t="s">
        <v>1007</v>
      </c>
      <c r="I32" s="7" t="s">
        <v>1008</v>
      </c>
    </row>
    <row r="33" spans="1:9" ht="95.1" customHeight="1" x14ac:dyDescent="0.25">
      <c r="A33" s="6" t="s">
        <v>1009</v>
      </c>
      <c r="B33" s="53" t="s">
        <v>1010</v>
      </c>
      <c r="C33" s="55"/>
      <c r="D33" s="53" t="s">
        <v>1011</v>
      </c>
      <c r="E33" s="55"/>
      <c r="F33" s="7" t="s">
        <v>110</v>
      </c>
      <c r="G33" s="7" t="s">
        <v>1012</v>
      </c>
      <c r="H33" s="7" t="s">
        <v>1013</v>
      </c>
      <c r="I33" s="7" t="s">
        <v>110</v>
      </c>
    </row>
    <row r="35" spans="1:9" ht="20.100000000000001" customHeight="1" x14ac:dyDescent="0.25">
      <c r="A35" s="3" t="s">
        <v>1014</v>
      </c>
      <c r="B35" s="4"/>
      <c r="C35" s="4"/>
      <c r="D35" s="4"/>
      <c r="E35" s="4"/>
      <c r="F35" s="4"/>
      <c r="G35" s="4"/>
      <c r="H35" s="4"/>
      <c r="I35" s="4"/>
    </row>
    <row r="36" spans="1:9" ht="30" customHeight="1" x14ac:dyDescent="0.25">
      <c r="A36" s="5" t="s">
        <v>1015</v>
      </c>
      <c r="B36" s="5" t="s">
        <v>99</v>
      </c>
      <c r="C36" s="5"/>
      <c r="D36" s="5" t="s">
        <v>223</v>
      </c>
      <c r="E36" s="5"/>
      <c r="F36" s="5" t="s">
        <v>72</v>
      </c>
      <c r="G36" s="5" t="s">
        <v>45</v>
      </c>
      <c r="H36" s="5"/>
      <c r="I36" s="5"/>
    </row>
    <row r="37" spans="1:9" ht="25.5" x14ac:dyDescent="0.25">
      <c r="A37" s="7" t="s">
        <v>1016</v>
      </c>
      <c r="B37" s="53" t="s">
        <v>109</v>
      </c>
      <c r="C37" s="55"/>
      <c r="D37" s="53" t="s">
        <v>1017</v>
      </c>
      <c r="E37" s="55"/>
      <c r="F37" s="7" t="s">
        <v>825</v>
      </c>
      <c r="G37" s="7" t="s">
        <v>1018</v>
      </c>
      <c r="H37" s="7"/>
      <c r="I37" s="7"/>
    </row>
    <row r="38" spans="1:9" ht="25.5" x14ac:dyDescent="0.25">
      <c r="A38" s="7" t="s">
        <v>1016</v>
      </c>
      <c r="B38" s="53" t="s">
        <v>915</v>
      </c>
      <c r="C38" s="55"/>
      <c r="D38" s="53" t="s">
        <v>1017</v>
      </c>
      <c r="E38" s="55"/>
      <c r="F38" s="7" t="s">
        <v>1019</v>
      </c>
      <c r="G38" s="7" t="s">
        <v>1018</v>
      </c>
      <c r="H38" s="7"/>
      <c r="I38" s="7"/>
    </row>
    <row r="39" spans="1:9" ht="25.5" x14ac:dyDescent="0.25">
      <c r="A39" s="7" t="s">
        <v>1016</v>
      </c>
      <c r="B39" s="53" t="s">
        <v>111</v>
      </c>
      <c r="C39" s="55"/>
      <c r="D39" s="53" t="s">
        <v>1017</v>
      </c>
      <c r="E39" s="55"/>
      <c r="F39" s="7" t="s">
        <v>1020</v>
      </c>
      <c r="G39" s="7" t="s">
        <v>1018</v>
      </c>
      <c r="H39" s="7"/>
      <c r="I39" s="7"/>
    </row>
    <row r="40" spans="1:9" ht="25.5" x14ac:dyDescent="0.25">
      <c r="A40" s="7" t="s">
        <v>1021</v>
      </c>
      <c r="B40" s="53" t="s">
        <v>1022</v>
      </c>
      <c r="C40" s="55"/>
      <c r="D40" s="53" t="s">
        <v>156</v>
      </c>
      <c r="E40" s="55"/>
      <c r="F40" s="7" t="s">
        <v>1023</v>
      </c>
      <c r="G40" s="7" t="s">
        <v>1024</v>
      </c>
      <c r="H40" s="7"/>
      <c r="I40" s="7"/>
    </row>
    <row r="41" spans="1:9" ht="25.5" x14ac:dyDescent="0.25">
      <c r="A41" s="7" t="s">
        <v>1025</v>
      </c>
      <c r="B41" s="53" t="s">
        <v>1026</v>
      </c>
      <c r="C41" s="55"/>
      <c r="D41" s="53" t="s">
        <v>1027</v>
      </c>
      <c r="E41" s="55"/>
      <c r="F41" s="7" t="s">
        <v>1028</v>
      </c>
      <c r="G41" s="7" t="s">
        <v>1029</v>
      </c>
      <c r="H41" s="7"/>
      <c r="I41" s="7"/>
    </row>
    <row r="42" spans="1:9" ht="38.25" x14ac:dyDescent="0.25">
      <c r="A42" s="7" t="s">
        <v>1030</v>
      </c>
      <c r="B42" s="53" t="s">
        <v>1031</v>
      </c>
      <c r="C42" s="55"/>
      <c r="D42" s="53" t="s">
        <v>104</v>
      </c>
      <c r="E42" s="55"/>
      <c r="F42" s="7" t="s">
        <v>1032</v>
      </c>
      <c r="G42" s="7" t="s">
        <v>1018</v>
      </c>
      <c r="H42" s="7"/>
      <c r="I42" s="7"/>
    </row>
    <row r="43" spans="1:9" ht="25.5" x14ac:dyDescent="0.25">
      <c r="A43" s="7" t="s">
        <v>1033</v>
      </c>
      <c r="B43" s="53" t="s">
        <v>1034</v>
      </c>
      <c r="C43" s="55"/>
      <c r="D43" s="53" t="s">
        <v>1027</v>
      </c>
      <c r="E43" s="55"/>
      <c r="F43" s="7" t="s">
        <v>1035</v>
      </c>
      <c r="G43" s="7" t="s">
        <v>1029</v>
      </c>
      <c r="H43" s="7"/>
      <c r="I43" s="7"/>
    </row>
    <row r="44" spans="1:9" ht="25.5" x14ac:dyDescent="0.25">
      <c r="A44" s="7" t="s">
        <v>1036</v>
      </c>
      <c r="B44" s="53" t="s">
        <v>1037</v>
      </c>
      <c r="C44" s="55"/>
      <c r="D44" s="53" t="s">
        <v>1038</v>
      </c>
      <c r="E44" s="55"/>
      <c r="F44" s="7" t="s">
        <v>1039</v>
      </c>
      <c r="G44" s="7" t="s">
        <v>1040</v>
      </c>
      <c r="H44" s="7"/>
      <c r="I44" s="7"/>
    </row>
    <row r="45" spans="1:9" ht="25.5" x14ac:dyDescent="0.25">
      <c r="A45" s="7" t="s">
        <v>1041</v>
      </c>
      <c r="B45" s="53" t="s">
        <v>1042</v>
      </c>
      <c r="C45" s="55"/>
      <c r="D45" s="53" t="s">
        <v>1043</v>
      </c>
      <c r="E45" s="55"/>
      <c r="F45" s="7" t="s">
        <v>1044</v>
      </c>
      <c r="G45" s="7" t="s">
        <v>1045</v>
      </c>
      <c r="H45" s="7"/>
      <c r="I45" s="7"/>
    </row>
    <row r="47" spans="1:9" ht="20.100000000000001" customHeight="1" x14ac:dyDescent="0.25">
      <c r="A47" s="3" t="s">
        <v>1046</v>
      </c>
      <c r="B47" s="4"/>
      <c r="C47" s="4"/>
      <c r="D47" s="4"/>
      <c r="E47" s="4"/>
      <c r="F47" s="4"/>
      <c r="G47" s="4"/>
      <c r="H47" s="4"/>
      <c r="I47" s="4"/>
    </row>
    <row r="48" spans="1:9" ht="30" customHeight="1" x14ac:dyDescent="0.25">
      <c r="A48" s="5" t="s">
        <v>296</v>
      </c>
      <c r="B48" s="5" t="s">
        <v>140</v>
      </c>
      <c r="C48" s="5" t="s">
        <v>1047</v>
      </c>
      <c r="D48" s="5" t="s">
        <v>1048</v>
      </c>
      <c r="E48" s="5" t="s">
        <v>1049</v>
      </c>
      <c r="F48" s="5"/>
      <c r="G48" s="5"/>
      <c r="H48" s="5"/>
      <c r="I48" s="5"/>
    </row>
    <row r="49" spans="1:9" x14ac:dyDescent="0.25">
      <c r="A49" s="6" t="s">
        <v>224</v>
      </c>
      <c r="B49" s="42">
        <v>1.405405405405405</v>
      </c>
      <c r="C49" s="42">
        <v>0.27027027027027029</v>
      </c>
      <c r="D49" s="42">
        <v>0.48648648648648651</v>
      </c>
      <c r="E49" s="7" t="s">
        <v>108</v>
      </c>
      <c r="F49" s="7"/>
      <c r="G49" s="7"/>
      <c r="H49" s="7"/>
      <c r="I49" s="7"/>
    </row>
    <row r="50" spans="1:9" x14ac:dyDescent="0.25">
      <c r="A50" s="6" t="s">
        <v>225</v>
      </c>
      <c r="B50" s="42">
        <v>1.7</v>
      </c>
      <c r="C50" s="42">
        <v>1</v>
      </c>
      <c r="D50" s="42">
        <v>0.8</v>
      </c>
      <c r="E50" s="7" t="s">
        <v>108</v>
      </c>
      <c r="F50" s="7"/>
      <c r="G50" s="7"/>
      <c r="H50" s="7"/>
      <c r="I50" s="7"/>
    </row>
    <row r="51" spans="1:9" x14ac:dyDescent="0.25">
      <c r="A51" s="6" t="s">
        <v>226</v>
      </c>
      <c r="B51" s="42">
        <v>1.049284578696343</v>
      </c>
      <c r="C51" s="42">
        <v>0.1112877583465819</v>
      </c>
      <c r="D51" s="42" t="s">
        <v>110</v>
      </c>
      <c r="E51" s="7" t="s">
        <v>108</v>
      </c>
      <c r="F51" s="7"/>
      <c r="G51" s="7"/>
      <c r="H51" s="7"/>
      <c r="I51" s="7"/>
    </row>
    <row r="52" spans="1:9" x14ac:dyDescent="0.25">
      <c r="A52" s="6" t="s">
        <v>227</v>
      </c>
      <c r="B52" s="42">
        <v>0.79508196721311464</v>
      </c>
      <c r="C52" s="42">
        <v>1.950819672131147</v>
      </c>
      <c r="D52" s="42">
        <v>0.91803278688524581</v>
      </c>
      <c r="E52" s="7" t="s">
        <v>109</v>
      </c>
      <c r="F52" s="7"/>
      <c r="G52" s="7"/>
      <c r="H52" s="7"/>
      <c r="I52" s="7"/>
    </row>
    <row r="53" spans="1:9" x14ac:dyDescent="0.25">
      <c r="A53" s="6" t="s">
        <v>228</v>
      </c>
      <c r="B53" s="42">
        <v>2</v>
      </c>
      <c r="C53" s="42">
        <v>1.3666666666666669</v>
      </c>
      <c r="D53" s="42">
        <v>0.4</v>
      </c>
      <c r="E53" s="7" t="s">
        <v>108</v>
      </c>
      <c r="F53" s="7"/>
      <c r="G53" s="7"/>
      <c r="H53" s="7"/>
      <c r="I53" s="7"/>
    </row>
  </sheetData>
  <mergeCells count="35">
    <mergeCell ref="B26:C26"/>
    <mergeCell ref="B41:C41"/>
    <mergeCell ref="D26:E26"/>
    <mergeCell ref="D44:E44"/>
    <mergeCell ref="A22:I22"/>
    <mergeCell ref="D41:E41"/>
    <mergeCell ref="B38:C38"/>
    <mergeCell ref="B44:C44"/>
    <mergeCell ref="B29:C29"/>
    <mergeCell ref="D43:E43"/>
    <mergeCell ref="B37:C37"/>
    <mergeCell ref="B28:C28"/>
    <mergeCell ref="D37:E37"/>
    <mergeCell ref="D28:E28"/>
    <mergeCell ref="B40:C40"/>
    <mergeCell ref="D39:E39"/>
    <mergeCell ref="B30:C30"/>
    <mergeCell ref="D30:E30"/>
    <mergeCell ref="B33:C33"/>
    <mergeCell ref="D42:E42"/>
    <mergeCell ref="B31:C31"/>
    <mergeCell ref="D40:E40"/>
    <mergeCell ref="B27:C27"/>
    <mergeCell ref="D31:E31"/>
    <mergeCell ref="D45:E45"/>
    <mergeCell ref="B43:C43"/>
    <mergeCell ref="B39:C39"/>
    <mergeCell ref="D27:E27"/>
    <mergeCell ref="B42:C42"/>
    <mergeCell ref="D32:E32"/>
    <mergeCell ref="D33:E33"/>
    <mergeCell ref="D29:E29"/>
    <mergeCell ref="B45:C45"/>
    <mergeCell ref="D38:E38"/>
    <mergeCell ref="B32:C3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AA5B1"/>
  </sheetPr>
  <dimension ref="A1:Y537"/>
  <sheetViews>
    <sheetView showGridLines="0" zoomScale="90" workbookViewId="0">
      <pane xSplit="2" ySplit="1" topLeftCell="C2" activePane="bottomRight" state="frozen"/>
      <selection pane="topRight"/>
      <selection pane="bottomLeft"/>
      <selection pane="bottomRight"/>
    </sheetView>
  </sheetViews>
  <sheetFormatPr defaultRowHeight="15" x14ac:dyDescent="0.25"/>
  <cols>
    <col min="1" max="1" width="24" customWidth="1"/>
    <col min="2" max="2" width="20" customWidth="1"/>
    <col min="3" max="3" width="11" customWidth="1"/>
    <col min="4" max="6" width="9" customWidth="1"/>
    <col min="7" max="7" width="14" customWidth="1"/>
    <col min="8" max="8" width="26" customWidth="1"/>
    <col min="9" max="9" width="22" customWidth="1"/>
    <col min="10" max="10" width="9" customWidth="1"/>
    <col min="11" max="11" width="10" customWidth="1"/>
    <col min="12" max="15" width="11" customWidth="1"/>
    <col min="16" max="16" width="10" customWidth="1"/>
    <col min="17" max="17" width="9" customWidth="1"/>
    <col min="18" max="18" width="8" customWidth="1"/>
    <col min="19" max="19" width="9" customWidth="1"/>
    <col min="20" max="20" width="10" customWidth="1"/>
    <col min="21" max="21" width="22" customWidth="1"/>
    <col min="22" max="22" width="18" customWidth="1"/>
    <col min="23" max="23" width="50" customWidth="1"/>
    <col min="24" max="24" width="36" customWidth="1"/>
    <col min="25" max="25" width="60" customWidth="1"/>
  </cols>
  <sheetData>
    <row r="1" spans="1:25" ht="25.5" x14ac:dyDescent="0.25">
      <c r="A1" s="43" t="s">
        <v>296</v>
      </c>
      <c r="B1" s="43" t="s">
        <v>1050</v>
      </c>
      <c r="C1" s="43" t="s">
        <v>152</v>
      </c>
      <c r="D1" s="43" t="s">
        <v>139</v>
      </c>
      <c r="E1" s="43" t="s">
        <v>1051</v>
      </c>
      <c r="F1" s="43" t="s">
        <v>1052</v>
      </c>
      <c r="G1" s="43" t="s">
        <v>99</v>
      </c>
      <c r="H1" s="43" t="s">
        <v>113</v>
      </c>
      <c r="I1" s="43" t="s">
        <v>628</v>
      </c>
      <c r="J1" s="43" t="s">
        <v>153</v>
      </c>
      <c r="K1" s="43" t="s">
        <v>154</v>
      </c>
      <c r="L1" s="43" t="s">
        <v>155</v>
      </c>
      <c r="M1" s="43" t="s">
        <v>74</v>
      </c>
      <c r="N1" s="43" t="s">
        <v>1053</v>
      </c>
      <c r="O1" s="43" t="s">
        <v>1054</v>
      </c>
      <c r="P1" s="43" t="s">
        <v>1055</v>
      </c>
      <c r="Q1" s="43" t="s">
        <v>1056</v>
      </c>
      <c r="R1" s="43" t="s">
        <v>1057</v>
      </c>
      <c r="S1" s="43" t="s">
        <v>1058</v>
      </c>
      <c r="T1" s="43" t="s">
        <v>1059</v>
      </c>
      <c r="U1" s="43" t="s">
        <v>1060</v>
      </c>
      <c r="V1" s="43" t="s">
        <v>1061</v>
      </c>
      <c r="W1" s="43" t="s">
        <v>1062</v>
      </c>
      <c r="X1" s="43" t="s">
        <v>1063</v>
      </c>
      <c r="Y1" s="43" t="s">
        <v>1064</v>
      </c>
    </row>
    <row r="2" spans="1:25" x14ac:dyDescent="0.25">
      <c r="A2" s="44" t="s">
        <v>1065</v>
      </c>
      <c r="B2" s="44" t="s">
        <v>224</v>
      </c>
      <c r="C2" s="44" t="s">
        <v>1066</v>
      </c>
      <c r="D2" s="44" t="s">
        <v>149</v>
      </c>
      <c r="E2" s="44" t="s">
        <v>126</v>
      </c>
      <c r="F2" s="44">
        <v>14</v>
      </c>
      <c r="G2" s="44" t="s">
        <v>111</v>
      </c>
      <c r="H2" s="44" t="s">
        <v>121</v>
      </c>
      <c r="I2" s="44" t="s">
        <v>656</v>
      </c>
      <c r="J2" s="44">
        <v>5</v>
      </c>
      <c r="K2" s="44">
        <v>0</v>
      </c>
      <c r="L2" s="45"/>
      <c r="M2" s="44">
        <v>3957</v>
      </c>
      <c r="N2" s="46">
        <f t="shared" ref="N2:N65" si="0">(J2+K2)/M2</f>
        <v>1.2635835228708618E-3</v>
      </c>
      <c r="O2" s="47" t="str">
        <f t="shared" ref="O2:O65" si="1">IF(L2="","",L2/M2)</f>
        <v/>
      </c>
      <c r="P2" s="44">
        <v>82</v>
      </c>
      <c r="Q2" s="44">
        <v>0</v>
      </c>
      <c r="R2" s="44">
        <v>3</v>
      </c>
      <c r="S2" s="44" t="s">
        <v>1067</v>
      </c>
      <c r="T2" s="44" t="s">
        <v>1068</v>
      </c>
      <c r="U2" s="44" t="s">
        <v>1069</v>
      </c>
      <c r="V2" s="44"/>
      <c r="W2" s="44" t="s">
        <v>1070</v>
      </c>
      <c r="X2" s="48" t="s">
        <v>1071</v>
      </c>
      <c r="Y2" s="44" t="s">
        <v>1072</v>
      </c>
    </row>
    <row r="3" spans="1:25" x14ac:dyDescent="0.25">
      <c r="A3" s="44" t="s">
        <v>1065</v>
      </c>
      <c r="B3" s="44" t="s">
        <v>224</v>
      </c>
      <c r="C3" s="44" t="s">
        <v>1073</v>
      </c>
      <c r="D3" s="44" t="s">
        <v>149</v>
      </c>
      <c r="E3" s="44" t="s">
        <v>134</v>
      </c>
      <c r="F3" s="44">
        <v>18</v>
      </c>
      <c r="G3" s="44" t="s">
        <v>108</v>
      </c>
      <c r="H3" s="44" t="s">
        <v>120</v>
      </c>
      <c r="I3" s="44" t="s">
        <v>656</v>
      </c>
      <c r="J3" s="44">
        <v>27</v>
      </c>
      <c r="K3" s="44">
        <v>0</v>
      </c>
      <c r="L3" s="45">
        <v>1161</v>
      </c>
      <c r="M3" s="44">
        <v>3957</v>
      </c>
      <c r="N3" s="46">
        <f t="shared" si="0"/>
        <v>6.8233510235026539E-3</v>
      </c>
      <c r="O3" s="47">
        <f t="shared" si="1"/>
        <v>0.29340409401061412</v>
      </c>
      <c r="P3" s="44">
        <v>58</v>
      </c>
      <c r="Q3" s="44">
        <v>5</v>
      </c>
      <c r="R3" s="44">
        <v>2</v>
      </c>
      <c r="S3" s="44" t="s">
        <v>1067</v>
      </c>
      <c r="T3" s="44" t="s">
        <v>1067</v>
      </c>
      <c r="U3" s="44" t="s">
        <v>1069</v>
      </c>
      <c r="V3" s="44"/>
      <c r="W3" s="44" t="s">
        <v>1074</v>
      </c>
      <c r="X3" s="48" t="s">
        <v>1075</v>
      </c>
      <c r="Y3" s="44" t="s">
        <v>1076</v>
      </c>
    </row>
    <row r="4" spans="1:25" x14ac:dyDescent="0.25">
      <c r="A4" s="44" t="s">
        <v>1065</v>
      </c>
      <c r="B4" s="44" t="s">
        <v>224</v>
      </c>
      <c r="C4" s="44" t="s">
        <v>182</v>
      </c>
      <c r="D4" s="44" t="s">
        <v>149</v>
      </c>
      <c r="E4" s="44" t="s">
        <v>130</v>
      </c>
      <c r="F4" s="44">
        <v>17</v>
      </c>
      <c r="G4" s="44" t="s">
        <v>108</v>
      </c>
      <c r="H4" s="44" t="s">
        <v>120</v>
      </c>
      <c r="I4" s="44" t="s">
        <v>650</v>
      </c>
      <c r="J4" s="44">
        <v>57</v>
      </c>
      <c r="K4" s="44">
        <v>1</v>
      </c>
      <c r="L4" s="45">
        <v>3464</v>
      </c>
      <c r="M4" s="44">
        <v>3957</v>
      </c>
      <c r="N4" s="46">
        <f t="shared" si="0"/>
        <v>1.4657568865301996E-2</v>
      </c>
      <c r="O4" s="47">
        <f t="shared" si="1"/>
        <v>0.875410664644933</v>
      </c>
      <c r="P4" s="44">
        <v>52</v>
      </c>
      <c r="Q4" s="44">
        <v>5</v>
      </c>
      <c r="R4" s="44">
        <v>3</v>
      </c>
      <c r="S4" s="44" t="s">
        <v>1067</v>
      </c>
      <c r="T4" s="44" t="s">
        <v>1067</v>
      </c>
      <c r="U4" s="44" t="s">
        <v>1069</v>
      </c>
      <c r="V4" s="44"/>
      <c r="W4" s="44" t="s">
        <v>181</v>
      </c>
      <c r="X4" s="48" t="s">
        <v>183</v>
      </c>
      <c r="Y4" s="44" t="s">
        <v>1077</v>
      </c>
    </row>
    <row r="5" spans="1:25" x14ac:dyDescent="0.25">
      <c r="A5" s="44" t="s">
        <v>1065</v>
      </c>
      <c r="B5" s="44" t="s">
        <v>224</v>
      </c>
      <c r="C5" s="44" t="s">
        <v>1078</v>
      </c>
      <c r="D5" s="44" t="s">
        <v>149</v>
      </c>
      <c r="E5" s="44" t="s">
        <v>126</v>
      </c>
      <c r="F5" s="44">
        <v>19</v>
      </c>
      <c r="G5" s="44" t="s">
        <v>108</v>
      </c>
      <c r="H5" s="44" t="s">
        <v>121</v>
      </c>
      <c r="I5" s="44" t="s">
        <v>656</v>
      </c>
      <c r="J5" s="44">
        <v>17</v>
      </c>
      <c r="K5" s="44">
        <v>2</v>
      </c>
      <c r="L5" s="45">
        <v>1215</v>
      </c>
      <c r="M5" s="44">
        <v>3957</v>
      </c>
      <c r="N5" s="46">
        <f t="shared" si="0"/>
        <v>4.8016173869092748E-3</v>
      </c>
      <c r="O5" s="47">
        <f t="shared" si="1"/>
        <v>0.30705079605761942</v>
      </c>
      <c r="P5" s="44">
        <v>60</v>
      </c>
      <c r="Q5" s="44">
        <v>0</v>
      </c>
      <c r="R5" s="44">
        <v>3</v>
      </c>
      <c r="S5" s="44" t="s">
        <v>1067</v>
      </c>
      <c r="T5" s="44" t="s">
        <v>1067</v>
      </c>
      <c r="U5" s="44" t="s">
        <v>1069</v>
      </c>
      <c r="V5" s="44"/>
      <c r="W5" s="44" t="s">
        <v>1079</v>
      </c>
      <c r="X5" s="48" t="s">
        <v>1080</v>
      </c>
      <c r="Y5" s="44" t="s">
        <v>1081</v>
      </c>
    </row>
    <row r="6" spans="1:25" x14ac:dyDescent="0.25">
      <c r="A6" s="44" t="s">
        <v>1065</v>
      </c>
      <c r="B6" s="44" t="s">
        <v>224</v>
      </c>
      <c r="C6" s="44" t="s">
        <v>1082</v>
      </c>
      <c r="D6" s="44" t="s">
        <v>149</v>
      </c>
      <c r="E6" s="44" t="s">
        <v>136</v>
      </c>
      <c r="F6" s="44">
        <v>12</v>
      </c>
      <c r="G6" s="44" t="s">
        <v>108</v>
      </c>
      <c r="H6" s="44" t="s">
        <v>117</v>
      </c>
      <c r="I6" s="44" t="s">
        <v>656</v>
      </c>
      <c r="J6" s="44">
        <v>21</v>
      </c>
      <c r="K6" s="44">
        <v>0</v>
      </c>
      <c r="L6" s="45">
        <v>1218</v>
      </c>
      <c r="M6" s="44">
        <v>3957</v>
      </c>
      <c r="N6" s="46">
        <f t="shared" si="0"/>
        <v>5.3070507960576198E-3</v>
      </c>
      <c r="O6" s="47">
        <f t="shared" si="1"/>
        <v>0.30780894617134191</v>
      </c>
      <c r="P6" s="44">
        <v>58</v>
      </c>
      <c r="Q6" s="44">
        <v>4</v>
      </c>
      <c r="R6" s="44">
        <v>4</v>
      </c>
      <c r="S6" s="44" t="s">
        <v>1068</v>
      </c>
      <c r="T6" s="44" t="s">
        <v>1068</v>
      </c>
      <c r="U6" s="44" t="s">
        <v>1069</v>
      </c>
      <c r="V6" s="44"/>
      <c r="W6" s="44" t="s">
        <v>1083</v>
      </c>
      <c r="X6" s="48" t="s">
        <v>1084</v>
      </c>
      <c r="Y6" s="44" t="s">
        <v>1085</v>
      </c>
    </row>
    <row r="7" spans="1:25" x14ac:dyDescent="0.25">
      <c r="A7" s="44" t="s">
        <v>1065</v>
      </c>
      <c r="B7" s="44" t="s">
        <v>224</v>
      </c>
      <c r="C7" s="44" t="s">
        <v>1086</v>
      </c>
      <c r="D7" s="44" t="s">
        <v>148</v>
      </c>
      <c r="E7" s="44" t="s">
        <v>128</v>
      </c>
      <c r="F7" s="44">
        <v>17</v>
      </c>
      <c r="G7" s="44" t="s">
        <v>108</v>
      </c>
      <c r="H7" s="44" t="s">
        <v>120</v>
      </c>
      <c r="I7" s="44" t="s">
        <v>656</v>
      </c>
      <c r="J7" s="44">
        <v>30</v>
      </c>
      <c r="K7" s="44">
        <v>0</v>
      </c>
      <c r="L7" s="45">
        <v>1300</v>
      </c>
      <c r="M7" s="44">
        <v>3957</v>
      </c>
      <c r="N7" s="46">
        <f t="shared" si="0"/>
        <v>7.5815011372251705E-3</v>
      </c>
      <c r="O7" s="47">
        <f t="shared" si="1"/>
        <v>0.32853171594642405</v>
      </c>
      <c r="P7" s="44">
        <v>76</v>
      </c>
      <c r="Q7" s="44">
        <v>5</v>
      </c>
      <c r="R7" s="44">
        <v>3</v>
      </c>
      <c r="S7" s="44" t="s">
        <v>1068</v>
      </c>
      <c r="T7" s="44" t="s">
        <v>1068</v>
      </c>
      <c r="U7" s="44" t="s">
        <v>1069</v>
      </c>
      <c r="V7" s="44"/>
      <c r="W7" s="44" t="s">
        <v>1087</v>
      </c>
      <c r="X7" s="48" t="s">
        <v>1088</v>
      </c>
      <c r="Y7" s="44" t="s">
        <v>1089</v>
      </c>
    </row>
    <row r="8" spans="1:25" x14ac:dyDescent="0.25">
      <c r="A8" s="44" t="s">
        <v>1065</v>
      </c>
      <c r="B8" s="44" t="s">
        <v>224</v>
      </c>
      <c r="C8" s="44" t="s">
        <v>1086</v>
      </c>
      <c r="D8" s="44" t="s">
        <v>148</v>
      </c>
      <c r="E8" s="44" t="s">
        <v>128</v>
      </c>
      <c r="F8" s="44">
        <v>11</v>
      </c>
      <c r="G8" s="44" t="s">
        <v>111</v>
      </c>
      <c r="H8" s="44" t="s">
        <v>121</v>
      </c>
      <c r="I8" s="44" t="s">
        <v>650</v>
      </c>
      <c r="J8" s="44">
        <v>4</v>
      </c>
      <c r="K8" s="44">
        <v>1</v>
      </c>
      <c r="L8" s="45"/>
      <c r="M8" s="44">
        <v>3957</v>
      </c>
      <c r="N8" s="46">
        <f t="shared" si="0"/>
        <v>1.2635835228708618E-3</v>
      </c>
      <c r="O8" s="47" t="str">
        <f t="shared" si="1"/>
        <v/>
      </c>
      <c r="P8" s="44">
        <v>89</v>
      </c>
      <c r="Q8" s="44">
        <v>0</v>
      </c>
      <c r="R8" s="44">
        <v>5</v>
      </c>
      <c r="S8" s="44" t="s">
        <v>1067</v>
      </c>
      <c r="T8" s="44" t="s">
        <v>1067</v>
      </c>
      <c r="U8" s="44" t="s">
        <v>1090</v>
      </c>
      <c r="V8" s="44" t="s">
        <v>1091</v>
      </c>
      <c r="W8" s="44" t="s">
        <v>1092</v>
      </c>
      <c r="X8" s="48" t="s">
        <v>1093</v>
      </c>
      <c r="Y8" s="44" t="s">
        <v>1094</v>
      </c>
    </row>
    <row r="9" spans="1:25" x14ac:dyDescent="0.25">
      <c r="A9" s="44" t="s">
        <v>1065</v>
      </c>
      <c r="B9" s="44" t="s">
        <v>224</v>
      </c>
      <c r="C9" s="44" t="s">
        <v>1095</v>
      </c>
      <c r="D9" s="44" t="s">
        <v>148</v>
      </c>
      <c r="E9" s="44" t="s">
        <v>126</v>
      </c>
      <c r="F9" s="44">
        <v>15</v>
      </c>
      <c r="G9" s="44" t="s">
        <v>108</v>
      </c>
      <c r="H9" s="44" t="s">
        <v>119</v>
      </c>
      <c r="I9" s="44" t="s">
        <v>656</v>
      </c>
      <c r="J9" s="44">
        <v>9</v>
      </c>
      <c r="K9" s="44">
        <v>0</v>
      </c>
      <c r="L9" s="45">
        <v>1099</v>
      </c>
      <c r="M9" s="44">
        <v>3957</v>
      </c>
      <c r="N9" s="46">
        <f t="shared" si="0"/>
        <v>2.2744503411675512E-3</v>
      </c>
      <c r="O9" s="47">
        <f t="shared" si="1"/>
        <v>0.27773565832701541</v>
      </c>
      <c r="P9" s="44">
        <v>44</v>
      </c>
      <c r="Q9" s="44">
        <v>0</v>
      </c>
      <c r="R9" s="44">
        <v>3</v>
      </c>
      <c r="S9" s="44" t="s">
        <v>1067</v>
      </c>
      <c r="T9" s="44" t="s">
        <v>1067</v>
      </c>
      <c r="U9" s="44" t="s">
        <v>1069</v>
      </c>
      <c r="V9" s="44"/>
      <c r="W9" s="44" t="s">
        <v>1096</v>
      </c>
      <c r="X9" s="48" t="s">
        <v>1097</v>
      </c>
      <c r="Y9" s="44" t="s">
        <v>1098</v>
      </c>
    </row>
    <row r="10" spans="1:25" x14ac:dyDescent="0.25">
      <c r="A10" s="44" t="s">
        <v>1065</v>
      </c>
      <c r="B10" s="44" t="s">
        <v>224</v>
      </c>
      <c r="C10" s="44" t="s">
        <v>1099</v>
      </c>
      <c r="D10" s="44" t="s">
        <v>148</v>
      </c>
      <c r="E10" s="44" t="s">
        <v>134</v>
      </c>
      <c r="F10" s="44">
        <v>20</v>
      </c>
      <c r="G10" s="44" t="s">
        <v>108</v>
      </c>
      <c r="H10" s="44" t="s">
        <v>118</v>
      </c>
      <c r="I10" s="44" t="s">
        <v>656</v>
      </c>
      <c r="J10" s="44">
        <v>9</v>
      </c>
      <c r="K10" s="44">
        <v>3</v>
      </c>
      <c r="L10" s="45">
        <v>909</v>
      </c>
      <c r="M10" s="44">
        <v>3957</v>
      </c>
      <c r="N10" s="46">
        <f t="shared" si="0"/>
        <v>3.0326004548900682E-3</v>
      </c>
      <c r="O10" s="47">
        <f t="shared" si="1"/>
        <v>0.22971948445792267</v>
      </c>
      <c r="P10" s="44">
        <v>57</v>
      </c>
      <c r="Q10" s="44">
        <v>0</v>
      </c>
      <c r="R10" s="44">
        <v>2</v>
      </c>
      <c r="S10" s="44" t="s">
        <v>1067</v>
      </c>
      <c r="T10" s="44" t="s">
        <v>1067</v>
      </c>
      <c r="U10" s="44" t="s">
        <v>1069</v>
      </c>
      <c r="V10" s="44"/>
      <c r="W10" s="44" t="s">
        <v>1100</v>
      </c>
      <c r="X10" s="48" t="s">
        <v>1101</v>
      </c>
      <c r="Y10" s="44" t="s">
        <v>1102</v>
      </c>
    </row>
    <row r="11" spans="1:25" x14ac:dyDescent="0.25">
      <c r="A11" s="44" t="s">
        <v>1065</v>
      </c>
      <c r="B11" s="44" t="s">
        <v>224</v>
      </c>
      <c r="C11" s="44" t="s">
        <v>1103</v>
      </c>
      <c r="D11" s="44" t="s">
        <v>148</v>
      </c>
      <c r="E11" s="44" t="s">
        <v>130</v>
      </c>
      <c r="F11" s="44">
        <v>15</v>
      </c>
      <c r="G11" s="44" t="s">
        <v>111</v>
      </c>
      <c r="H11" s="44" t="s">
        <v>117</v>
      </c>
      <c r="I11" s="44" t="s">
        <v>650</v>
      </c>
      <c r="J11" s="44">
        <v>16</v>
      </c>
      <c r="K11" s="44">
        <v>2</v>
      </c>
      <c r="L11" s="45"/>
      <c r="M11" s="44">
        <v>3957</v>
      </c>
      <c r="N11" s="46">
        <f t="shared" si="0"/>
        <v>4.5489006823351023E-3</v>
      </c>
      <c r="O11" s="47" t="str">
        <f t="shared" si="1"/>
        <v/>
      </c>
      <c r="P11" s="44">
        <v>92</v>
      </c>
      <c r="Q11" s="44">
        <v>0</v>
      </c>
      <c r="R11" s="44">
        <v>5</v>
      </c>
      <c r="S11" s="44" t="s">
        <v>1067</v>
      </c>
      <c r="T11" s="44" t="s">
        <v>1067</v>
      </c>
      <c r="U11" s="44" t="s">
        <v>1104</v>
      </c>
      <c r="V11" s="44"/>
      <c r="W11" s="44" t="s">
        <v>1105</v>
      </c>
      <c r="X11" s="48" t="s">
        <v>1106</v>
      </c>
      <c r="Y11" s="44" t="s">
        <v>1107</v>
      </c>
    </row>
    <row r="12" spans="1:25" x14ac:dyDescent="0.25">
      <c r="A12" s="44" t="s">
        <v>1065</v>
      </c>
      <c r="B12" s="44" t="s">
        <v>224</v>
      </c>
      <c r="C12" s="44" t="s">
        <v>185</v>
      </c>
      <c r="D12" s="44" t="s">
        <v>148</v>
      </c>
      <c r="E12" s="44" t="s">
        <v>126</v>
      </c>
      <c r="F12" s="44">
        <v>15</v>
      </c>
      <c r="G12" s="44" t="s">
        <v>108</v>
      </c>
      <c r="H12" s="44" t="s">
        <v>120</v>
      </c>
      <c r="I12" s="44" t="s">
        <v>656</v>
      </c>
      <c r="J12" s="44">
        <v>54</v>
      </c>
      <c r="K12" s="44">
        <v>4</v>
      </c>
      <c r="L12" s="45">
        <v>1377</v>
      </c>
      <c r="M12" s="44">
        <v>3957</v>
      </c>
      <c r="N12" s="46">
        <f t="shared" si="0"/>
        <v>1.4657568865301996E-2</v>
      </c>
      <c r="O12" s="47">
        <f t="shared" si="1"/>
        <v>0.34799090219863532</v>
      </c>
      <c r="P12" s="44">
        <v>49</v>
      </c>
      <c r="Q12" s="44">
        <v>0</v>
      </c>
      <c r="R12" s="44">
        <v>2</v>
      </c>
      <c r="S12" s="44" t="s">
        <v>1067</v>
      </c>
      <c r="T12" s="44" t="s">
        <v>1067</v>
      </c>
      <c r="U12" s="44" t="s">
        <v>1069</v>
      </c>
      <c r="V12" s="44"/>
      <c r="W12" s="44" t="s">
        <v>184</v>
      </c>
      <c r="X12" s="48" t="s">
        <v>186</v>
      </c>
      <c r="Y12" s="44" t="s">
        <v>1108</v>
      </c>
    </row>
    <row r="13" spans="1:25" x14ac:dyDescent="0.25">
      <c r="A13" s="44" t="s">
        <v>1065</v>
      </c>
      <c r="B13" s="44" t="s">
        <v>224</v>
      </c>
      <c r="C13" s="44" t="s">
        <v>1109</v>
      </c>
      <c r="D13" s="44" t="s">
        <v>148</v>
      </c>
      <c r="E13" s="44" t="s">
        <v>136</v>
      </c>
      <c r="F13" s="44">
        <v>15</v>
      </c>
      <c r="G13" s="44" t="s">
        <v>108</v>
      </c>
      <c r="H13" s="44" t="s">
        <v>120</v>
      </c>
      <c r="I13" s="44" t="s">
        <v>656</v>
      </c>
      <c r="J13" s="44">
        <v>32</v>
      </c>
      <c r="K13" s="44">
        <v>3</v>
      </c>
      <c r="L13" s="45">
        <v>1751</v>
      </c>
      <c r="M13" s="44">
        <v>3957</v>
      </c>
      <c r="N13" s="46">
        <f t="shared" si="0"/>
        <v>8.845084660096033E-3</v>
      </c>
      <c r="O13" s="47">
        <f t="shared" si="1"/>
        <v>0.44250694970937576</v>
      </c>
      <c r="P13" s="44">
        <v>56</v>
      </c>
      <c r="Q13" s="44">
        <v>5</v>
      </c>
      <c r="R13" s="44">
        <v>2</v>
      </c>
      <c r="S13" s="44" t="s">
        <v>1067</v>
      </c>
      <c r="T13" s="44" t="s">
        <v>1067</v>
      </c>
      <c r="U13" s="44"/>
      <c r="V13" s="44"/>
      <c r="W13" s="44" t="s">
        <v>1110</v>
      </c>
      <c r="X13" s="48" t="s">
        <v>1111</v>
      </c>
      <c r="Y13" s="44" t="s">
        <v>1112</v>
      </c>
    </row>
    <row r="14" spans="1:25" x14ac:dyDescent="0.25">
      <c r="A14" s="44" t="s">
        <v>1065</v>
      </c>
      <c r="B14" s="44" t="s">
        <v>224</v>
      </c>
      <c r="C14" s="44" t="s">
        <v>192</v>
      </c>
      <c r="D14" s="44" t="s">
        <v>148</v>
      </c>
      <c r="E14" s="44" t="s">
        <v>134</v>
      </c>
      <c r="F14" s="44">
        <v>16</v>
      </c>
      <c r="G14" s="44" t="s">
        <v>108</v>
      </c>
      <c r="H14" s="44" t="s">
        <v>120</v>
      </c>
      <c r="I14" s="44" t="s">
        <v>656</v>
      </c>
      <c r="J14" s="44">
        <v>13</v>
      </c>
      <c r="K14" s="44">
        <v>2</v>
      </c>
      <c r="L14" s="45">
        <v>1343</v>
      </c>
      <c r="M14" s="44">
        <v>3957</v>
      </c>
      <c r="N14" s="46">
        <f t="shared" si="0"/>
        <v>3.7907505686125853E-3</v>
      </c>
      <c r="O14" s="47">
        <f t="shared" si="1"/>
        <v>0.33939853424311345</v>
      </c>
      <c r="P14" s="44">
        <v>37</v>
      </c>
      <c r="Q14" s="44">
        <v>0</v>
      </c>
      <c r="R14" s="44">
        <v>4</v>
      </c>
      <c r="S14" s="44" t="s">
        <v>1067</v>
      </c>
      <c r="T14" s="44" t="s">
        <v>1067</v>
      </c>
      <c r="U14" s="44" t="s">
        <v>1113</v>
      </c>
      <c r="V14" s="44"/>
      <c r="W14" s="44" t="s">
        <v>1114</v>
      </c>
      <c r="X14" s="48" t="s">
        <v>1115</v>
      </c>
      <c r="Y14" s="44" t="s">
        <v>1116</v>
      </c>
    </row>
    <row r="15" spans="1:25" x14ac:dyDescent="0.25">
      <c r="A15" s="44" t="s">
        <v>1065</v>
      </c>
      <c r="B15" s="44" t="s">
        <v>224</v>
      </c>
      <c r="C15" s="44" t="s">
        <v>192</v>
      </c>
      <c r="D15" s="44" t="s">
        <v>148</v>
      </c>
      <c r="E15" s="44" t="s">
        <v>134</v>
      </c>
      <c r="F15" s="44">
        <v>9</v>
      </c>
      <c r="G15" s="44" t="s">
        <v>108</v>
      </c>
      <c r="H15" s="44" t="s">
        <v>120</v>
      </c>
      <c r="I15" s="44" t="s">
        <v>650</v>
      </c>
      <c r="J15" s="44">
        <v>2</v>
      </c>
      <c r="K15" s="44">
        <v>0</v>
      </c>
      <c r="L15" s="45">
        <v>573</v>
      </c>
      <c r="M15" s="44">
        <v>3957</v>
      </c>
      <c r="N15" s="46">
        <f t="shared" si="0"/>
        <v>5.0543340914834466E-4</v>
      </c>
      <c r="O15" s="47">
        <f t="shared" si="1"/>
        <v>0.14480667172100076</v>
      </c>
      <c r="P15" s="44">
        <v>106</v>
      </c>
      <c r="Q15" s="44">
        <v>3</v>
      </c>
      <c r="R15" s="44">
        <v>9</v>
      </c>
      <c r="S15" s="44" t="s">
        <v>1067</v>
      </c>
      <c r="T15" s="44" t="s">
        <v>1067</v>
      </c>
      <c r="U15" s="44" t="s">
        <v>1069</v>
      </c>
      <c r="V15" s="44"/>
      <c r="W15" s="44" t="s">
        <v>191</v>
      </c>
      <c r="X15" s="48" t="s">
        <v>193</v>
      </c>
      <c r="Y15" s="44" t="s">
        <v>1117</v>
      </c>
    </row>
    <row r="16" spans="1:25" x14ac:dyDescent="0.25">
      <c r="A16" s="44" t="s">
        <v>1065</v>
      </c>
      <c r="B16" s="44" t="s">
        <v>224</v>
      </c>
      <c r="C16" s="44" t="s">
        <v>1118</v>
      </c>
      <c r="D16" s="44" t="s">
        <v>148</v>
      </c>
      <c r="E16" s="44" t="s">
        <v>130</v>
      </c>
      <c r="F16" s="44">
        <v>16</v>
      </c>
      <c r="G16" s="44" t="s">
        <v>108</v>
      </c>
      <c r="H16" s="44" t="s">
        <v>121</v>
      </c>
      <c r="I16" s="44" t="s">
        <v>656</v>
      </c>
      <c r="J16" s="44">
        <v>48</v>
      </c>
      <c r="K16" s="44">
        <v>0</v>
      </c>
      <c r="L16" s="45">
        <v>3621</v>
      </c>
      <c r="M16" s="44">
        <v>3957</v>
      </c>
      <c r="N16" s="46">
        <f t="shared" si="0"/>
        <v>1.2130401819560273E-2</v>
      </c>
      <c r="O16" s="47">
        <f t="shared" si="1"/>
        <v>0.91508718726307814</v>
      </c>
      <c r="P16" s="44">
        <v>48</v>
      </c>
      <c r="Q16" s="44">
        <v>5</v>
      </c>
      <c r="R16" s="44">
        <v>2</v>
      </c>
      <c r="S16" s="44" t="s">
        <v>1067</v>
      </c>
      <c r="T16" s="44" t="s">
        <v>1067</v>
      </c>
      <c r="U16" s="44" t="s">
        <v>1069</v>
      </c>
      <c r="V16" s="44"/>
      <c r="W16" s="44" t="s">
        <v>1119</v>
      </c>
      <c r="X16" s="48" t="s">
        <v>1120</v>
      </c>
      <c r="Y16" s="44" t="s">
        <v>1121</v>
      </c>
    </row>
    <row r="17" spans="1:25" x14ac:dyDescent="0.25">
      <c r="A17" s="44" t="s">
        <v>1065</v>
      </c>
      <c r="B17" s="44" t="s">
        <v>224</v>
      </c>
      <c r="C17" s="44" t="s">
        <v>1122</v>
      </c>
      <c r="D17" s="44" t="s">
        <v>148</v>
      </c>
      <c r="E17" s="44" t="s">
        <v>128</v>
      </c>
      <c r="F17" s="44">
        <v>10</v>
      </c>
      <c r="G17" s="44" t="s">
        <v>111</v>
      </c>
      <c r="H17" s="44" t="s">
        <v>120</v>
      </c>
      <c r="I17" s="44" t="s">
        <v>638</v>
      </c>
      <c r="J17" s="44">
        <v>19</v>
      </c>
      <c r="K17" s="44">
        <v>1</v>
      </c>
      <c r="L17" s="45"/>
      <c r="M17" s="44">
        <v>3957</v>
      </c>
      <c r="N17" s="46">
        <f t="shared" si="0"/>
        <v>5.0543340914834473E-3</v>
      </c>
      <c r="O17" s="47" t="str">
        <f t="shared" si="1"/>
        <v/>
      </c>
      <c r="P17" s="44">
        <v>91</v>
      </c>
      <c r="Q17" s="44">
        <v>0</v>
      </c>
      <c r="R17" s="44">
        <v>6</v>
      </c>
      <c r="S17" s="44" t="s">
        <v>1067</v>
      </c>
      <c r="T17" s="44" t="s">
        <v>1068</v>
      </c>
      <c r="U17" s="44" t="s">
        <v>1069</v>
      </c>
      <c r="V17" s="44"/>
      <c r="W17" s="44" t="s">
        <v>1123</v>
      </c>
      <c r="X17" s="48" t="s">
        <v>1124</v>
      </c>
      <c r="Y17" s="44" t="s">
        <v>1125</v>
      </c>
    </row>
    <row r="18" spans="1:25" x14ac:dyDescent="0.25">
      <c r="A18" s="44" t="s">
        <v>1065</v>
      </c>
      <c r="B18" s="44" t="s">
        <v>224</v>
      </c>
      <c r="C18" s="44" t="s">
        <v>195</v>
      </c>
      <c r="D18" s="44" t="s">
        <v>148</v>
      </c>
      <c r="E18" s="44" t="s">
        <v>126</v>
      </c>
      <c r="F18" s="44">
        <v>17</v>
      </c>
      <c r="G18" s="44" t="s">
        <v>111</v>
      </c>
      <c r="H18" s="44" t="s">
        <v>121</v>
      </c>
      <c r="I18" s="44" t="s">
        <v>650</v>
      </c>
      <c r="J18" s="44">
        <v>3</v>
      </c>
      <c r="K18" s="44">
        <v>0</v>
      </c>
      <c r="L18" s="45"/>
      <c r="M18" s="44">
        <v>3957</v>
      </c>
      <c r="N18" s="46">
        <f t="shared" si="0"/>
        <v>7.5815011372251705E-4</v>
      </c>
      <c r="O18" s="47" t="str">
        <f t="shared" si="1"/>
        <v/>
      </c>
      <c r="P18" s="44">
        <v>132</v>
      </c>
      <c r="Q18" s="44">
        <v>4</v>
      </c>
      <c r="R18" s="44">
        <v>7</v>
      </c>
      <c r="S18" s="44" t="s">
        <v>1067</v>
      </c>
      <c r="T18" s="44" t="s">
        <v>1067</v>
      </c>
      <c r="U18" s="44" t="s">
        <v>1069</v>
      </c>
      <c r="V18" s="44"/>
      <c r="W18" s="44" t="s">
        <v>194</v>
      </c>
      <c r="X18" s="48" t="s">
        <v>196</v>
      </c>
      <c r="Y18" s="44" t="s">
        <v>1126</v>
      </c>
    </row>
    <row r="19" spans="1:25" x14ac:dyDescent="0.25">
      <c r="A19" s="44" t="s">
        <v>1065</v>
      </c>
      <c r="B19" s="44" t="s">
        <v>224</v>
      </c>
      <c r="C19" s="44" t="s">
        <v>1127</v>
      </c>
      <c r="D19" s="44" t="s">
        <v>148</v>
      </c>
      <c r="E19" s="44" t="s">
        <v>134</v>
      </c>
      <c r="F19" s="44">
        <v>16</v>
      </c>
      <c r="G19" s="44" t="s">
        <v>111</v>
      </c>
      <c r="H19" s="44" t="s">
        <v>120</v>
      </c>
      <c r="I19" s="44" t="s">
        <v>629</v>
      </c>
      <c r="J19" s="44">
        <v>6</v>
      </c>
      <c r="K19" s="44">
        <v>0</v>
      </c>
      <c r="L19" s="45"/>
      <c r="M19" s="44">
        <v>3957</v>
      </c>
      <c r="N19" s="46">
        <f t="shared" si="0"/>
        <v>1.5163002274450341E-3</v>
      </c>
      <c r="O19" s="47" t="str">
        <f t="shared" si="1"/>
        <v/>
      </c>
      <c r="P19" s="44">
        <v>127</v>
      </c>
      <c r="Q19" s="44">
        <v>5</v>
      </c>
      <c r="R19" s="44">
        <v>2</v>
      </c>
      <c r="S19" s="44" t="s">
        <v>1067</v>
      </c>
      <c r="T19" s="44" t="s">
        <v>1068</v>
      </c>
      <c r="U19" s="44"/>
      <c r="V19" s="44"/>
      <c r="W19" s="44" t="s">
        <v>1128</v>
      </c>
      <c r="X19" s="48" t="s">
        <v>1129</v>
      </c>
      <c r="Y19" s="44" t="s">
        <v>1130</v>
      </c>
    </row>
    <row r="20" spans="1:25" x14ac:dyDescent="0.25">
      <c r="A20" s="44" t="s">
        <v>1065</v>
      </c>
      <c r="B20" s="44" t="s">
        <v>224</v>
      </c>
      <c r="C20" s="44" t="s">
        <v>1131</v>
      </c>
      <c r="D20" s="44" t="s">
        <v>148</v>
      </c>
      <c r="E20" s="44" t="s">
        <v>132</v>
      </c>
      <c r="F20" s="44">
        <v>16</v>
      </c>
      <c r="G20" s="44" t="s">
        <v>111</v>
      </c>
      <c r="H20" s="44" t="s">
        <v>119</v>
      </c>
      <c r="I20" s="44" t="s">
        <v>656</v>
      </c>
      <c r="J20" s="44">
        <v>25</v>
      </c>
      <c r="K20" s="44">
        <v>2</v>
      </c>
      <c r="L20" s="45"/>
      <c r="M20" s="44">
        <v>3957</v>
      </c>
      <c r="N20" s="46">
        <f t="shared" si="0"/>
        <v>6.8233510235026539E-3</v>
      </c>
      <c r="O20" s="47" t="str">
        <f t="shared" si="1"/>
        <v/>
      </c>
      <c r="P20" s="44">
        <v>44</v>
      </c>
      <c r="Q20" s="44">
        <v>0</v>
      </c>
      <c r="R20" s="44">
        <v>4</v>
      </c>
      <c r="S20" s="44" t="s">
        <v>1068</v>
      </c>
      <c r="T20" s="44" t="s">
        <v>1068</v>
      </c>
      <c r="U20" s="44" t="s">
        <v>1069</v>
      </c>
      <c r="V20" s="44"/>
      <c r="W20" s="44" t="s">
        <v>1132</v>
      </c>
      <c r="X20" s="48" t="s">
        <v>1133</v>
      </c>
      <c r="Y20" s="44" t="s">
        <v>1134</v>
      </c>
    </row>
    <row r="21" spans="1:25" x14ac:dyDescent="0.25">
      <c r="A21" s="44" t="s">
        <v>1065</v>
      </c>
      <c r="B21" s="44" t="s">
        <v>224</v>
      </c>
      <c r="C21" s="44" t="s">
        <v>1135</v>
      </c>
      <c r="D21" s="44" t="s">
        <v>148</v>
      </c>
      <c r="E21" s="44" t="s">
        <v>128</v>
      </c>
      <c r="F21" s="44">
        <v>16</v>
      </c>
      <c r="G21" s="44" t="s">
        <v>111</v>
      </c>
      <c r="H21" s="44" t="s">
        <v>116</v>
      </c>
      <c r="I21" s="44" t="s">
        <v>656</v>
      </c>
      <c r="J21" s="44">
        <v>20</v>
      </c>
      <c r="K21" s="44">
        <v>0</v>
      </c>
      <c r="L21" s="45"/>
      <c r="M21" s="44">
        <v>3957</v>
      </c>
      <c r="N21" s="46">
        <f t="shared" si="0"/>
        <v>5.0543340914834473E-3</v>
      </c>
      <c r="O21" s="47" t="str">
        <f t="shared" si="1"/>
        <v/>
      </c>
      <c r="P21" s="44">
        <v>66</v>
      </c>
      <c r="Q21" s="44">
        <v>0</v>
      </c>
      <c r="R21" s="44">
        <v>5</v>
      </c>
      <c r="S21" s="44" t="s">
        <v>1067</v>
      </c>
      <c r="T21" s="44" t="s">
        <v>1068</v>
      </c>
      <c r="U21" s="44" t="s">
        <v>1069</v>
      </c>
      <c r="V21" s="44"/>
      <c r="W21" s="44" t="s">
        <v>1136</v>
      </c>
      <c r="X21" s="48" t="s">
        <v>1137</v>
      </c>
      <c r="Y21" s="44" t="s">
        <v>1138</v>
      </c>
    </row>
    <row r="22" spans="1:25" x14ac:dyDescent="0.25">
      <c r="A22" s="44" t="s">
        <v>1065</v>
      </c>
      <c r="B22" s="44" t="s">
        <v>224</v>
      </c>
      <c r="C22" s="44" t="s">
        <v>1135</v>
      </c>
      <c r="D22" s="44" t="s">
        <v>148</v>
      </c>
      <c r="E22" s="44" t="s">
        <v>128</v>
      </c>
      <c r="F22" s="44">
        <v>13</v>
      </c>
      <c r="G22" s="44" t="s">
        <v>108</v>
      </c>
      <c r="H22" s="44" t="s">
        <v>119</v>
      </c>
      <c r="I22" s="44" t="s">
        <v>629</v>
      </c>
      <c r="J22" s="44">
        <v>14</v>
      </c>
      <c r="K22" s="44">
        <v>0</v>
      </c>
      <c r="L22" s="45">
        <v>696</v>
      </c>
      <c r="M22" s="44">
        <v>3957</v>
      </c>
      <c r="N22" s="46">
        <f t="shared" si="0"/>
        <v>3.5380338640384128E-3</v>
      </c>
      <c r="O22" s="47">
        <f t="shared" si="1"/>
        <v>0.17589082638362397</v>
      </c>
      <c r="P22" s="44">
        <v>65</v>
      </c>
      <c r="Q22" s="44">
        <v>0</v>
      </c>
      <c r="R22" s="44">
        <v>0</v>
      </c>
      <c r="S22" s="44" t="s">
        <v>1068</v>
      </c>
      <c r="T22" s="44" t="s">
        <v>1068</v>
      </c>
      <c r="U22" s="44" t="s">
        <v>1069</v>
      </c>
      <c r="V22" s="44"/>
      <c r="W22" s="44" t="s">
        <v>1139</v>
      </c>
      <c r="X22" s="48" t="s">
        <v>1140</v>
      </c>
      <c r="Y22" s="44" t="s">
        <v>1141</v>
      </c>
    </row>
    <row r="23" spans="1:25" x14ac:dyDescent="0.25">
      <c r="A23" s="44" t="s">
        <v>1065</v>
      </c>
      <c r="B23" s="44" t="s">
        <v>224</v>
      </c>
      <c r="C23" s="44" t="s">
        <v>1142</v>
      </c>
      <c r="D23" s="44" t="s">
        <v>148</v>
      </c>
      <c r="E23" s="44" t="s">
        <v>126</v>
      </c>
      <c r="F23" s="44">
        <v>11</v>
      </c>
      <c r="G23" s="44" t="s">
        <v>111</v>
      </c>
      <c r="H23" s="44" t="s">
        <v>116</v>
      </c>
      <c r="I23" s="44" t="s">
        <v>656</v>
      </c>
      <c r="J23" s="44">
        <v>11</v>
      </c>
      <c r="K23" s="44">
        <v>3</v>
      </c>
      <c r="L23" s="45"/>
      <c r="M23" s="44">
        <v>3957</v>
      </c>
      <c r="N23" s="46">
        <f t="shared" si="0"/>
        <v>3.5380338640384128E-3</v>
      </c>
      <c r="O23" s="47" t="str">
        <f t="shared" si="1"/>
        <v/>
      </c>
      <c r="P23" s="44">
        <v>85</v>
      </c>
      <c r="Q23" s="44">
        <v>4</v>
      </c>
      <c r="R23" s="44">
        <v>2</v>
      </c>
      <c r="S23" s="44" t="s">
        <v>1067</v>
      </c>
      <c r="T23" s="44" t="s">
        <v>1067</v>
      </c>
      <c r="U23" s="44" t="s">
        <v>1069</v>
      </c>
      <c r="V23" s="44"/>
      <c r="W23" s="44" t="s">
        <v>1143</v>
      </c>
      <c r="X23" s="48" t="s">
        <v>1144</v>
      </c>
      <c r="Y23" s="44" t="s">
        <v>1145</v>
      </c>
    </row>
    <row r="24" spans="1:25" x14ac:dyDescent="0.25">
      <c r="A24" s="44" t="s">
        <v>1065</v>
      </c>
      <c r="B24" s="44" t="s">
        <v>224</v>
      </c>
      <c r="C24" s="44" t="s">
        <v>1146</v>
      </c>
      <c r="D24" s="44" t="s">
        <v>148</v>
      </c>
      <c r="E24" s="44" t="s">
        <v>134</v>
      </c>
      <c r="F24" s="44">
        <v>17</v>
      </c>
      <c r="G24" s="44" t="s">
        <v>111</v>
      </c>
      <c r="H24" s="44" t="s">
        <v>120</v>
      </c>
      <c r="I24" s="44" t="s">
        <v>638</v>
      </c>
      <c r="J24" s="44">
        <v>17</v>
      </c>
      <c r="K24" s="44">
        <v>0</v>
      </c>
      <c r="L24" s="45"/>
      <c r="M24" s="44">
        <v>3957</v>
      </c>
      <c r="N24" s="46">
        <f t="shared" si="0"/>
        <v>4.2961839777609298E-3</v>
      </c>
      <c r="O24" s="47" t="str">
        <f t="shared" si="1"/>
        <v/>
      </c>
      <c r="P24" s="44">
        <v>125</v>
      </c>
      <c r="Q24" s="44">
        <v>4</v>
      </c>
      <c r="R24" s="44">
        <v>7</v>
      </c>
      <c r="S24" s="44" t="s">
        <v>1067</v>
      </c>
      <c r="T24" s="44" t="s">
        <v>1067</v>
      </c>
      <c r="U24" s="44"/>
      <c r="V24" s="44"/>
      <c r="W24" s="44" t="s">
        <v>1147</v>
      </c>
      <c r="X24" s="48" t="s">
        <v>1148</v>
      </c>
      <c r="Y24" s="44" t="s">
        <v>1149</v>
      </c>
    </row>
    <row r="25" spans="1:25" x14ac:dyDescent="0.25">
      <c r="A25" s="44" t="s">
        <v>1065</v>
      </c>
      <c r="B25" s="44" t="s">
        <v>224</v>
      </c>
      <c r="C25" s="44" t="s">
        <v>1150</v>
      </c>
      <c r="D25" s="44" t="s">
        <v>148</v>
      </c>
      <c r="E25" s="44" t="s">
        <v>132</v>
      </c>
      <c r="F25" s="44">
        <v>17</v>
      </c>
      <c r="G25" s="44" t="s">
        <v>111</v>
      </c>
      <c r="H25" s="44" t="s">
        <v>117</v>
      </c>
      <c r="I25" s="44" t="s">
        <v>656</v>
      </c>
      <c r="J25" s="44">
        <v>29</v>
      </c>
      <c r="K25" s="44">
        <v>0</v>
      </c>
      <c r="L25" s="45"/>
      <c r="M25" s="44">
        <v>3957</v>
      </c>
      <c r="N25" s="46">
        <f t="shared" si="0"/>
        <v>7.328784432650998E-3</v>
      </c>
      <c r="O25" s="47" t="str">
        <f t="shared" si="1"/>
        <v/>
      </c>
      <c r="P25" s="44">
        <v>53</v>
      </c>
      <c r="Q25" s="44">
        <v>0</v>
      </c>
      <c r="R25" s="44">
        <v>0</v>
      </c>
      <c r="S25" s="44" t="s">
        <v>1068</v>
      </c>
      <c r="T25" s="44" t="s">
        <v>1068</v>
      </c>
      <c r="U25" s="44"/>
      <c r="V25" s="44"/>
      <c r="W25" s="44" t="s">
        <v>1151</v>
      </c>
      <c r="X25" s="48" t="s">
        <v>1152</v>
      </c>
      <c r="Y25" s="44" t="s">
        <v>1153</v>
      </c>
    </row>
    <row r="26" spans="1:25" x14ac:dyDescent="0.25">
      <c r="A26" s="44" t="s">
        <v>1065</v>
      </c>
      <c r="B26" s="44" t="s">
        <v>224</v>
      </c>
      <c r="C26" s="44" t="s">
        <v>1154</v>
      </c>
      <c r="D26" s="44" t="s">
        <v>147</v>
      </c>
      <c r="E26" s="44" t="s">
        <v>137</v>
      </c>
      <c r="F26" s="44">
        <v>15</v>
      </c>
      <c r="G26" s="44" t="s">
        <v>111</v>
      </c>
      <c r="H26" s="44" t="s">
        <v>119</v>
      </c>
      <c r="I26" s="44" t="s">
        <v>656</v>
      </c>
      <c r="J26" s="44">
        <v>28</v>
      </c>
      <c r="K26" s="44">
        <v>5</v>
      </c>
      <c r="L26" s="45"/>
      <c r="M26" s="44">
        <v>3957</v>
      </c>
      <c r="N26" s="46">
        <f t="shared" si="0"/>
        <v>8.339651250947688E-3</v>
      </c>
      <c r="O26" s="47" t="str">
        <f t="shared" si="1"/>
        <v/>
      </c>
      <c r="P26" s="44">
        <v>80</v>
      </c>
      <c r="Q26" s="44">
        <v>0</v>
      </c>
      <c r="R26" s="44">
        <v>4</v>
      </c>
      <c r="S26" s="44" t="s">
        <v>1068</v>
      </c>
      <c r="T26" s="44" t="s">
        <v>1068</v>
      </c>
      <c r="U26" s="44" t="s">
        <v>1155</v>
      </c>
      <c r="V26" s="44"/>
      <c r="W26" s="44" t="s">
        <v>1156</v>
      </c>
      <c r="X26" s="48" t="s">
        <v>1157</v>
      </c>
      <c r="Y26" s="44" t="s">
        <v>1158</v>
      </c>
    </row>
    <row r="27" spans="1:25" x14ac:dyDescent="0.25">
      <c r="A27" s="44" t="s">
        <v>1065</v>
      </c>
      <c r="B27" s="44" t="s">
        <v>224</v>
      </c>
      <c r="C27" s="44" t="s">
        <v>1159</v>
      </c>
      <c r="D27" s="44" t="s">
        <v>147</v>
      </c>
      <c r="E27" s="44" t="s">
        <v>134</v>
      </c>
      <c r="F27" s="44">
        <v>6</v>
      </c>
      <c r="G27" s="44" t="s">
        <v>111</v>
      </c>
      <c r="H27" s="44" t="s">
        <v>117</v>
      </c>
      <c r="I27" s="44" t="s">
        <v>656</v>
      </c>
      <c r="J27" s="44">
        <v>6</v>
      </c>
      <c r="K27" s="44">
        <v>1</v>
      </c>
      <c r="L27" s="45"/>
      <c r="M27" s="44">
        <v>3957</v>
      </c>
      <c r="N27" s="46">
        <f t="shared" si="0"/>
        <v>1.7690169320192064E-3</v>
      </c>
      <c r="O27" s="47" t="str">
        <f t="shared" si="1"/>
        <v/>
      </c>
      <c r="P27" s="44">
        <v>78</v>
      </c>
      <c r="Q27" s="44">
        <v>0</v>
      </c>
      <c r="R27" s="44">
        <v>4</v>
      </c>
      <c r="S27" s="44" t="s">
        <v>1068</v>
      </c>
      <c r="T27" s="44" t="s">
        <v>1068</v>
      </c>
      <c r="U27" s="44" t="s">
        <v>1069</v>
      </c>
      <c r="V27" s="44"/>
      <c r="W27" s="44" t="s">
        <v>1160</v>
      </c>
      <c r="X27" s="48" t="s">
        <v>1161</v>
      </c>
      <c r="Y27" s="44" t="s">
        <v>1162</v>
      </c>
    </row>
    <row r="28" spans="1:25" x14ac:dyDescent="0.25">
      <c r="A28" s="44" t="s">
        <v>1065</v>
      </c>
      <c r="B28" s="44" t="s">
        <v>224</v>
      </c>
      <c r="C28" s="44" t="s">
        <v>1163</v>
      </c>
      <c r="D28" s="44" t="s">
        <v>147</v>
      </c>
      <c r="E28" s="44" t="s">
        <v>126</v>
      </c>
      <c r="F28" s="44">
        <v>16</v>
      </c>
      <c r="G28" s="44" t="s">
        <v>108</v>
      </c>
      <c r="H28" s="44" t="s">
        <v>120</v>
      </c>
      <c r="I28" s="44" t="s">
        <v>656</v>
      </c>
      <c r="J28" s="44">
        <v>9</v>
      </c>
      <c r="K28" s="44">
        <v>0</v>
      </c>
      <c r="L28" s="45">
        <v>790</v>
      </c>
      <c r="M28" s="44">
        <v>3957</v>
      </c>
      <c r="N28" s="46">
        <f t="shared" si="0"/>
        <v>2.2744503411675512E-3</v>
      </c>
      <c r="O28" s="47">
        <f t="shared" si="1"/>
        <v>0.19964619661359617</v>
      </c>
      <c r="P28" s="44">
        <v>108</v>
      </c>
      <c r="Q28" s="44">
        <v>4</v>
      </c>
      <c r="R28" s="44">
        <v>2</v>
      </c>
      <c r="S28" s="44" t="s">
        <v>1067</v>
      </c>
      <c r="T28" s="44" t="s">
        <v>1067</v>
      </c>
      <c r="U28" s="44" t="s">
        <v>1069</v>
      </c>
      <c r="V28" s="44"/>
      <c r="W28" s="44" t="s">
        <v>1164</v>
      </c>
      <c r="X28" s="48" t="s">
        <v>1165</v>
      </c>
      <c r="Y28" s="44" t="s">
        <v>1166</v>
      </c>
    </row>
    <row r="29" spans="1:25" x14ac:dyDescent="0.25">
      <c r="A29" s="44" t="s">
        <v>1065</v>
      </c>
      <c r="B29" s="44" t="s">
        <v>224</v>
      </c>
      <c r="C29" s="44" t="s">
        <v>1167</v>
      </c>
      <c r="D29" s="44" t="s">
        <v>147</v>
      </c>
      <c r="E29" s="44" t="s">
        <v>134</v>
      </c>
      <c r="F29" s="44">
        <v>18</v>
      </c>
      <c r="G29" s="44" t="s">
        <v>111</v>
      </c>
      <c r="H29" s="44" t="s">
        <v>121</v>
      </c>
      <c r="I29" s="44" t="s">
        <v>656</v>
      </c>
      <c r="J29" s="44">
        <v>8</v>
      </c>
      <c r="K29" s="44">
        <v>2</v>
      </c>
      <c r="L29" s="45"/>
      <c r="M29" s="44">
        <v>3957</v>
      </c>
      <c r="N29" s="46">
        <f t="shared" si="0"/>
        <v>2.5271670457417236E-3</v>
      </c>
      <c r="O29" s="47" t="str">
        <f t="shared" si="1"/>
        <v/>
      </c>
      <c r="P29" s="44">
        <v>121</v>
      </c>
      <c r="Q29" s="44">
        <v>4</v>
      </c>
      <c r="R29" s="44">
        <v>7</v>
      </c>
      <c r="S29" s="44" t="s">
        <v>1067</v>
      </c>
      <c r="T29" s="44" t="s">
        <v>1068</v>
      </c>
      <c r="U29" s="44" t="s">
        <v>1069</v>
      </c>
      <c r="V29" s="44"/>
      <c r="W29" s="44" t="s">
        <v>1168</v>
      </c>
      <c r="X29" s="48" t="s">
        <v>1169</v>
      </c>
      <c r="Y29" s="44" t="s">
        <v>1170</v>
      </c>
    </row>
    <row r="30" spans="1:25" x14ac:dyDescent="0.25">
      <c r="A30" s="44" t="s">
        <v>1065</v>
      </c>
      <c r="B30" s="44" t="s">
        <v>224</v>
      </c>
      <c r="C30" s="44" t="s">
        <v>1171</v>
      </c>
      <c r="D30" s="44" t="s">
        <v>147</v>
      </c>
      <c r="E30" s="44" t="s">
        <v>132</v>
      </c>
      <c r="F30" s="44">
        <v>16</v>
      </c>
      <c r="G30" s="44" t="s">
        <v>111</v>
      </c>
      <c r="H30" s="44" t="s">
        <v>120</v>
      </c>
      <c r="I30" s="44" t="s">
        <v>656</v>
      </c>
      <c r="J30" s="44">
        <v>6</v>
      </c>
      <c r="K30" s="44">
        <v>1</v>
      </c>
      <c r="L30" s="45"/>
      <c r="M30" s="44">
        <v>3957</v>
      </c>
      <c r="N30" s="46">
        <f t="shared" si="0"/>
        <v>1.7690169320192064E-3</v>
      </c>
      <c r="O30" s="47" t="str">
        <f t="shared" si="1"/>
        <v/>
      </c>
      <c r="P30" s="44">
        <v>101</v>
      </c>
      <c r="Q30" s="44">
        <v>3</v>
      </c>
      <c r="R30" s="44">
        <v>3</v>
      </c>
      <c r="S30" s="44" t="s">
        <v>1067</v>
      </c>
      <c r="T30" s="44" t="s">
        <v>1068</v>
      </c>
      <c r="U30" s="44" t="s">
        <v>1172</v>
      </c>
      <c r="V30" s="44"/>
      <c r="W30" s="44" t="s">
        <v>1173</v>
      </c>
      <c r="X30" s="48" t="s">
        <v>1174</v>
      </c>
      <c r="Y30" s="44" t="s">
        <v>1175</v>
      </c>
    </row>
    <row r="31" spans="1:25" x14ac:dyDescent="0.25">
      <c r="A31" s="44" t="s">
        <v>1065</v>
      </c>
      <c r="B31" s="44" t="s">
        <v>224</v>
      </c>
      <c r="C31" s="44" t="s">
        <v>1176</v>
      </c>
      <c r="D31" s="44" t="s">
        <v>147</v>
      </c>
      <c r="E31" s="44" t="s">
        <v>130</v>
      </c>
      <c r="F31" s="44">
        <v>10</v>
      </c>
      <c r="G31" s="44" t="s">
        <v>111</v>
      </c>
      <c r="H31" s="44" t="s">
        <v>120</v>
      </c>
      <c r="I31" s="44" t="s">
        <v>638</v>
      </c>
      <c r="J31" s="44">
        <v>7</v>
      </c>
      <c r="K31" s="44">
        <v>1</v>
      </c>
      <c r="L31" s="45"/>
      <c r="M31" s="44">
        <v>3957</v>
      </c>
      <c r="N31" s="46">
        <f t="shared" si="0"/>
        <v>2.0217336365933787E-3</v>
      </c>
      <c r="O31" s="47" t="str">
        <f t="shared" si="1"/>
        <v/>
      </c>
      <c r="P31" s="44">
        <v>142</v>
      </c>
      <c r="Q31" s="44">
        <v>4</v>
      </c>
      <c r="R31" s="44">
        <v>5</v>
      </c>
      <c r="S31" s="44" t="s">
        <v>1067</v>
      </c>
      <c r="T31" s="44" t="s">
        <v>1067</v>
      </c>
      <c r="U31" s="44" t="s">
        <v>1069</v>
      </c>
      <c r="V31" s="44"/>
      <c r="W31" s="44" t="s">
        <v>1177</v>
      </c>
      <c r="X31" s="48" t="s">
        <v>1178</v>
      </c>
      <c r="Y31" s="44" t="s">
        <v>1179</v>
      </c>
    </row>
    <row r="32" spans="1:25" x14ac:dyDescent="0.25">
      <c r="A32" s="44" t="s">
        <v>1065</v>
      </c>
      <c r="B32" s="44" t="s">
        <v>224</v>
      </c>
      <c r="C32" s="44" t="s">
        <v>1180</v>
      </c>
      <c r="D32" s="44" t="s">
        <v>147</v>
      </c>
      <c r="E32" s="44" t="s">
        <v>128</v>
      </c>
      <c r="F32" s="44">
        <v>16</v>
      </c>
      <c r="G32" s="44" t="s">
        <v>111</v>
      </c>
      <c r="H32" s="44" t="s">
        <v>120</v>
      </c>
      <c r="I32" s="44" t="s">
        <v>650</v>
      </c>
      <c r="J32" s="44">
        <v>10</v>
      </c>
      <c r="K32" s="44">
        <v>2</v>
      </c>
      <c r="L32" s="45"/>
      <c r="M32" s="44">
        <v>3957</v>
      </c>
      <c r="N32" s="46">
        <f t="shared" si="0"/>
        <v>3.0326004548900682E-3</v>
      </c>
      <c r="O32" s="47" t="str">
        <f t="shared" si="1"/>
        <v/>
      </c>
      <c r="P32" s="44">
        <v>132</v>
      </c>
      <c r="Q32" s="44">
        <v>4</v>
      </c>
      <c r="R32" s="44">
        <v>3</v>
      </c>
      <c r="S32" s="44" t="s">
        <v>1067</v>
      </c>
      <c r="T32" s="44" t="s">
        <v>1067</v>
      </c>
      <c r="U32" s="44" t="s">
        <v>1069</v>
      </c>
      <c r="V32" s="44"/>
      <c r="W32" s="44" t="s">
        <v>1181</v>
      </c>
      <c r="X32" s="48" t="s">
        <v>1182</v>
      </c>
      <c r="Y32" s="44" t="s">
        <v>1183</v>
      </c>
    </row>
    <row r="33" spans="1:25" x14ac:dyDescent="0.25">
      <c r="A33" s="44" t="s">
        <v>1065</v>
      </c>
      <c r="B33" s="44" t="s">
        <v>224</v>
      </c>
      <c r="C33" s="44" t="s">
        <v>1184</v>
      </c>
      <c r="D33" s="44" t="s">
        <v>147</v>
      </c>
      <c r="E33" s="44" t="s">
        <v>126</v>
      </c>
      <c r="F33" s="44">
        <v>16</v>
      </c>
      <c r="G33" s="44" t="s">
        <v>109</v>
      </c>
      <c r="H33" s="44" t="s">
        <v>120</v>
      </c>
      <c r="I33" s="44" t="s">
        <v>656</v>
      </c>
      <c r="J33" s="44">
        <v>8</v>
      </c>
      <c r="K33" s="44">
        <v>0</v>
      </c>
      <c r="L33" s="45"/>
      <c r="M33" s="44">
        <v>3957</v>
      </c>
      <c r="N33" s="46">
        <f t="shared" si="0"/>
        <v>2.0217336365933787E-3</v>
      </c>
      <c r="O33" s="47" t="str">
        <f t="shared" si="1"/>
        <v/>
      </c>
      <c r="P33" s="44">
        <v>78</v>
      </c>
      <c r="Q33" s="44">
        <v>4</v>
      </c>
      <c r="R33" s="44">
        <v>7</v>
      </c>
      <c r="S33" s="44" t="s">
        <v>1067</v>
      </c>
      <c r="T33" s="44" t="s">
        <v>1067</v>
      </c>
      <c r="U33" s="44"/>
      <c r="V33" s="44"/>
      <c r="W33" s="44" t="s">
        <v>1185</v>
      </c>
      <c r="X33" s="48" t="s">
        <v>1186</v>
      </c>
      <c r="Y33" s="44" t="s">
        <v>1187</v>
      </c>
    </row>
    <row r="34" spans="1:25" x14ac:dyDescent="0.25">
      <c r="A34" s="44" t="s">
        <v>1065</v>
      </c>
      <c r="B34" s="44" t="s">
        <v>224</v>
      </c>
      <c r="C34" s="44" t="s">
        <v>1188</v>
      </c>
      <c r="D34" s="44" t="s">
        <v>147</v>
      </c>
      <c r="E34" s="44" t="s">
        <v>137</v>
      </c>
      <c r="F34" s="44">
        <v>11</v>
      </c>
      <c r="G34" s="44" t="s">
        <v>108</v>
      </c>
      <c r="H34" s="44" t="s">
        <v>120</v>
      </c>
      <c r="I34" s="44" t="s">
        <v>650</v>
      </c>
      <c r="J34" s="44">
        <v>29</v>
      </c>
      <c r="K34" s="44">
        <v>3</v>
      </c>
      <c r="L34" s="45">
        <v>72444</v>
      </c>
      <c r="M34" s="44">
        <v>3957</v>
      </c>
      <c r="N34" s="46">
        <f t="shared" si="0"/>
        <v>8.0869345463735146E-3</v>
      </c>
      <c r="O34" s="47">
        <f t="shared" si="1"/>
        <v>18.307808946171342</v>
      </c>
      <c r="P34" s="44">
        <v>135</v>
      </c>
      <c r="Q34" s="44">
        <v>5</v>
      </c>
      <c r="R34" s="44">
        <v>13</v>
      </c>
      <c r="S34" s="44" t="s">
        <v>1067</v>
      </c>
      <c r="T34" s="44" t="s">
        <v>1067</v>
      </c>
      <c r="U34" s="44"/>
      <c r="V34" s="44"/>
      <c r="W34" s="44" t="s">
        <v>1189</v>
      </c>
      <c r="X34" s="48" t="s">
        <v>1190</v>
      </c>
      <c r="Y34" s="44" t="s">
        <v>1191</v>
      </c>
    </row>
    <row r="35" spans="1:25" x14ac:dyDescent="0.25">
      <c r="A35" s="44" t="s">
        <v>1065</v>
      </c>
      <c r="B35" s="44" t="s">
        <v>224</v>
      </c>
      <c r="C35" s="44" t="s">
        <v>1192</v>
      </c>
      <c r="D35" s="44" t="s">
        <v>147</v>
      </c>
      <c r="E35" s="44" t="s">
        <v>134</v>
      </c>
      <c r="F35" s="44">
        <v>15</v>
      </c>
      <c r="G35" s="44" t="s">
        <v>109</v>
      </c>
      <c r="H35" s="44" t="s">
        <v>120</v>
      </c>
      <c r="I35" s="44" t="s">
        <v>650</v>
      </c>
      <c r="J35" s="44">
        <v>12</v>
      </c>
      <c r="K35" s="44">
        <v>0</v>
      </c>
      <c r="L35" s="45"/>
      <c r="M35" s="44">
        <v>3957</v>
      </c>
      <c r="N35" s="46">
        <f t="shared" si="0"/>
        <v>3.0326004548900682E-3</v>
      </c>
      <c r="O35" s="47" t="str">
        <f t="shared" si="1"/>
        <v/>
      </c>
      <c r="P35" s="44">
        <v>135</v>
      </c>
      <c r="Q35" s="44">
        <v>3</v>
      </c>
      <c r="R35" s="44">
        <v>9</v>
      </c>
      <c r="S35" s="44" t="s">
        <v>1067</v>
      </c>
      <c r="T35" s="44" t="s">
        <v>1067</v>
      </c>
      <c r="U35" s="44"/>
      <c r="V35" s="44"/>
      <c r="W35" s="44" t="s">
        <v>1193</v>
      </c>
      <c r="X35" s="48" t="s">
        <v>1194</v>
      </c>
      <c r="Y35" s="44" t="s">
        <v>1195</v>
      </c>
    </row>
    <row r="36" spans="1:25" x14ac:dyDescent="0.25">
      <c r="A36" s="44" t="s">
        <v>1065</v>
      </c>
      <c r="B36" s="44" t="s">
        <v>224</v>
      </c>
      <c r="C36" s="44" t="s">
        <v>1196</v>
      </c>
      <c r="D36" s="44" t="s">
        <v>147</v>
      </c>
      <c r="E36" s="44" t="s">
        <v>126</v>
      </c>
      <c r="F36" s="44">
        <v>16</v>
      </c>
      <c r="G36" s="44" t="s">
        <v>108</v>
      </c>
      <c r="H36" s="44" t="s">
        <v>114</v>
      </c>
      <c r="I36" s="44" t="s">
        <v>650</v>
      </c>
      <c r="J36" s="44">
        <v>45</v>
      </c>
      <c r="K36" s="44">
        <v>7</v>
      </c>
      <c r="L36" s="45">
        <v>3305</v>
      </c>
      <c r="M36" s="44">
        <v>3957</v>
      </c>
      <c r="N36" s="46">
        <f t="shared" si="0"/>
        <v>1.3141268637856963E-2</v>
      </c>
      <c r="O36" s="47">
        <f t="shared" si="1"/>
        <v>0.83522870861763965</v>
      </c>
      <c r="P36" s="44">
        <v>20</v>
      </c>
      <c r="Q36" s="44">
        <v>4</v>
      </c>
      <c r="R36" s="44">
        <v>3</v>
      </c>
      <c r="S36" s="44" t="s">
        <v>1068</v>
      </c>
      <c r="T36" s="44" t="s">
        <v>1067</v>
      </c>
      <c r="U36" s="44" t="s">
        <v>1069</v>
      </c>
      <c r="V36" s="44"/>
      <c r="W36" s="44" t="s">
        <v>1197</v>
      </c>
      <c r="X36" s="48" t="s">
        <v>1198</v>
      </c>
      <c r="Y36" s="44" t="s">
        <v>1199</v>
      </c>
    </row>
    <row r="37" spans="1:25" x14ac:dyDescent="0.25">
      <c r="A37" s="44" t="s">
        <v>1065</v>
      </c>
      <c r="B37" s="44" t="s">
        <v>224</v>
      </c>
      <c r="C37" s="44" t="s">
        <v>1200</v>
      </c>
      <c r="D37" s="44" t="s">
        <v>147</v>
      </c>
      <c r="E37" s="44" t="s">
        <v>134</v>
      </c>
      <c r="F37" s="44">
        <v>16</v>
      </c>
      <c r="G37" s="44" t="s">
        <v>111</v>
      </c>
      <c r="H37" s="44" t="s">
        <v>121</v>
      </c>
      <c r="I37" s="44" t="s">
        <v>650</v>
      </c>
      <c r="J37" s="44">
        <v>8</v>
      </c>
      <c r="K37" s="44">
        <v>1</v>
      </c>
      <c r="L37" s="45"/>
      <c r="M37" s="44">
        <v>3957</v>
      </c>
      <c r="N37" s="46">
        <f t="shared" si="0"/>
        <v>2.2744503411675512E-3</v>
      </c>
      <c r="O37" s="47" t="str">
        <f t="shared" si="1"/>
        <v/>
      </c>
      <c r="P37" s="44">
        <v>153</v>
      </c>
      <c r="Q37" s="44">
        <v>4</v>
      </c>
      <c r="R37" s="44">
        <v>3</v>
      </c>
      <c r="S37" s="44" t="s">
        <v>1067</v>
      </c>
      <c r="T37" s="44" t="s">
        <v>1067</v>
      </c>
      <c r="U37" s="44" t="s">
        <v>1069</v>
      </c>
      <c r="V37" s="44"/>
      <c r="W37" s="44" t="s">
        <v>1201</v>
      </c>
      <c r="X37" s="48" t="s">
        <v>1202</v>
      </c>
      <c r="Y37" s="44" t="s">
        <v>1203</v>
      </c>
    </row>
    <row r="38" spans="1:25" x14ac:dyDescent="0.25">
      <c r="A38" s="44" t="s">
        <v>1065</v>
      </c>
      <c r="B38" s="44" t="s">
        <v>224</v>
      </c>
      <c r="C38" s="44" t="s">
        <v>1204</v>
      </c>
      <c r="D38" s="44" t="s">
        <v>147</v>
      </c>
      <c r="E38" s="44" t="s">
        <v>128</v>
      </c>
      <c r="F38" s="44">
        <v>16</v>
      </c>
      <c r="G38" s="44" t="s">
        <v>108</v>
      </c>
      <c r="H38" s="44" t="s">
        <v>121</v>
      </c>
      <c r="I38" s="44" t="s">
        <v>650</v>
      </c>
      <c r="J38" s="44">
        <v>51</v>
      </c>
      <c r="K38" s="44">
        <v>3</v>
      </c>
      <c r="L38" s="45">
        <v>21438</v>
      </c>
      <c r="M38" s="44">
        <v>3957</v>
      </c>
      <c r="N38" s="46">
        <f t="shared" si="0"/>
        <v>1.3646702047005308E-2</v>
      </c>
      <c r="O38" s="47">
        <f t="shared" si="1"/>
        <v>5.4177407126611072</v>
      </c>
      <c r="P38" s="44">
        <v>136</v>
      </c>
      <c r="Q38" s="44">
        <v>5</v>
      </c>
      <c r="R38" s="44">
        <v>7</v>
      </c>
      <c r="S38" s="44" t="s">
        <v>1067</v>
      </c>
      <c r="T38" s="44" t="s">
        <v>1067</v>
      </c>
      <c r="U38" s="44" t="s">
        <v>1069</v>
      </c>
      <c r="V38" s="44"/>
      <c r="W38" s="44" t="s">
        <v>1205</v>
      </c>
      <c r="X38" s="48" t="s">
        <v>1206</v>
      </c>
      <c r="Y38" s="44" t="s">
        <v>1207</v>
      </c>
    </row>
    <row r="39" spans="1:25" x14ac:dyDescent="0.25">
      <c r="A39" s="44" t="s">
        <v>1065</v>
      </c>
      <c r="B39" s="44" t="s">
        <v>224</v>
      </c>
      <c r="C39" s="44" t="s">
        <v>1208</v>
      </c>
      <c r="D39" s="44" t="s">
        <v>147</v>
      </c>
      <c r="E39" s="44" t="s">
        <v>136</v>
      </c>
      <c r="F39" s="44">
        <v>4</v>
      </c>
      <c r="G39" s="44" t="s">
        <v>108</v>
      </c>
      <c r="H39" s="44" t="s">
        <v>117</v>
      </c>
      <c r="I39" s="44" t="s">
        <v>656</v>
      </c>
      <c r="J39" s="44">
        <v>35</v>
      </c>
      <c r="K39" s="44">
        <v>1</v>
      </c>
      <c r="L39" s="45">
        <v>1413</v>
      </c>
      <c r="M39" s="44">
        <v>3957</v>
      </c>
      <c r="N39" s="46">
        <f t="shared" si="0"/>
        <v>9.0978013646702046E-3</v>
      </c>
      <c r="O39" s="47">
        <f t="shared" si="1"/>
        <v>0.35708870356330552</v>
      </c>
      <c r="P39" s="44">
        <v>104</v>
      </c>
      <c r="Q39" s="44">
        <v>4</v>
      </c>
      <c r="R39" s="44">
        <v>2</v>
      </c>
      <c r="S39" s="44" t="s">
        <v>1068</v>
      </c>
      <c r="T39" s="44" t="s">
        <v>1068</v>
      </c>
      <c r="U39" s="44" t="s">
        <v>1069</v>
      </c>
      <c r="V39" s="44"/>
      <c r="W39" s="44" t="s">
        <v>1209</v>
      </c>
      <c r="X39" s="48" t="s">
        <v>1210</v>
      </c>
      <c r="Y39" s="44" t="s">
        <v>1211</v>
      </c>
    </row>
    <row r="40" spans="1:25" x14ac:dyDescent="0.25">
      <c r="A40" s="44" t="s">
        <v>1065</v>
      </c>
      <c r="B40" s="44" t="s">
        <v>224</v>
      </c>
      <c r="C40" s="44" t="s">
        <v>198</v>
      </c>
      <c r="D40" s="44" t="s">
        <v>146</v>
      </c>
      <c r="E40" s="44" t="s">
        <v>137</v>
      </c>
      <c r="F40" s="44">
        <v>10</v>
      </c>
      <c r="G40" s="44" t="s">
        <v>111</v>
      </c>
      <c r="H40" s="44" t="s">
        <v>116</v>
      </c>
      <c r="I40" s="44" t="s">
        <v>656</v>
      </c>
      <c r="J40" s="44">
        <v>3</v>
      </c>
      <c r="K40" s="44">
        <v>0</v>
      </c>
      <c r="L40" s="45"/>
      <c r="M40" s="44">
        <v>3957</v>
      </c>
      <c r="N40" s="46">
        <f t="shared" si="0"/>
        <v>7.5815011372251705E-4</v>
      </c>
      <c r="O40" s="47" t="str">
        <f t="shared" si="1"/>
        <v/>
      </c>
      <c r="P40" s="44">
        <v>99</v>
      </c>
      <c r="Q40" s="44">
        <v>0</v>
      </c>
      <c r="R40" s="44">
        <v>1</v>
      </c>
      <c r="S40" s="44" t="s">
        <v>1068</v>
      </c>
      <c r="T40" s="44" t="s">
        <v>1068</v>
      </c>
      <c r="U40" s="44"/>
      <c r="V40" s="44"/>
      <c r="W40" s="44" t="s">
        <v>197</v>
      </c>
      <c r="X40" s="48" t="s">
        <v>199</v>
      </c>
      <c r="Y40" s="44" t="s">
        <v>1212</v>
      </c>
    </row>
    <row r="41" spans="1:25" x14ac:dyDescent="0.25">
      <c r="A41" s="44" t="s">
        <v>1065</v>
      </c>
      <c r="B41" s="44" t="s">
        <v>224</v>
      </c>
      <c r="C41" s="44" t="s">
        <v>1213</v>
      </c>
      <c r="D41" s="44" t="s">
        <v>146</v>
      </c>
      <c r="E41" s="44" t="s">
        <v>130</v>
      </c>
      <c r="F41" s="44">
        <v>18</v>
      </c>
      <c r="G41" s="44" t="s">
        <v>111</v>
      </c>
      <c r="H41" s="44" t="s">
        <v>121</v>
      </c>
      <c r="I41" s="44" t="s">
        <v>656</v>
      </c>
      <c r="J41" s="44">
        <v>12</v>
      </c>
      <c r="K41" s="44">
        <v>1</v>
      </c>
      <c r="L41" s="45"/>
      <c r="M41" s="44">
        <v>3957</v>
      </c>
      <c r="N41" s="46">
        <f t="shared" si="0"/>
        <v>3.2853171594642407E-3</v>
      </c>
      <c r="O41" s="47" t="str">
        <f t="shared" si="1"/>
        <v/>
      </c>
      <c r="P41" s="44">
        <v>155</v>
      </c>
      <c r="Q41" s="44">
        <v>0</v>
      </c>
      <c r="R41" s="44">
        <v>2</v>
      </c>
      <c r="S41" s="44" t="s">
        <v>1068</v>
      </c>
      <c r="T41" s="44" t="s">
        <v>1067</v>
      </c>
      <c r="U41" s="44" t="s">
        <v>1069</v>
      </c>
      <c r="V41" s="44"/>
      <c r="W41" s="44" t="s">
        <v>1214</v>
      </c>
      <c r="X41" s="48" t="s">
        <v>1215</v>
      </c>
      <c r="Y41" s="44" t="s">
        <v>1216</v>
      </c>
    </row>
    <row r="42" spans="1:25" x14ac:dyDescent="0.25">
      <c r="A42" s="44" t="s">
        <v>1065</v>
      </c>
      <c r="B42" s="44" t="s">
        <v>224</v>
      </c>
      <c r="C42" s="44" t="s">
        <v>1217</v>
      </c>
      <c r="D42" s="44" t="s">
        <v>146</v>
      </c>
      <c r="E42" s="44" t="s">
        <v>126</v>
      </c>
      <c r="F42" s="44">
        <v>16</v>
      </c>
      <c r="G42" s="44" t="s">
        <v>108</v>
      </c>
      <c r="H42" s="44" t="s">
        <v>121</v>
      </c>
      <c r="I42" s="44" t="s">
        <v>656</v>
      </c>
      <c r="J42" s="44">
        <v>10</v>
      </c>
      <c r="K42" s="44">
        <v>0</v>
      </c>
      <c r="L42" s="45">
        <v>1056</v>
      </c>
      <c r="M42" s="44">
        <v>3957</v>
      </c>
      <c r="N42" s="46">
        <f t="shared" si="0"/>
        <v>2.5271670457417236E-3</v>
      </c>
      <c r="O42" s="47">
        <f t="shared" si="1"/>
        <v>0.26686884003032602</v>
      </c>
      <c r="P42" s="44">
        <v>123</v>
      </c>
      <c r="Q42" s="44">
        <v>5</v>
      </c>
      <c r="R42" s="44">
        <v>2</v>
      </c>
      <c r="S42" s="44" t="s">
        <v>1067</v>
      </c>
      <c r="T42" s="44" t="s">
        <v>1067</v>
      </c>
      <c r="U42" s="44" t="s">
        <v>1069</v>
      </c>
      <c r="V42" s="44"/>
      <c r="W42" s="44" t="s">
        <v>1218</v>
      </c>
      <c r="X42" s="48" t="s">
        <v>1219</v>
      </c>
      <c r="Y42" s="44" t="s">
        <v>1220</v>
      </c>
    </row>
    <row r="43" spans="1:25" x14ac:dyDescent="0.25">
      <c r="A43" s="44" t="s">
        <v>1065</v>
      </c>
      <c r="B43" s="44" t="s">
        <v>224</v>
      </c>
      <c r="C43" s="44" t="s">
        <v>1221</v>
      </c>
      <c r="D43" s="44" t="s">
        <v>146</v>
      </c>
      <c r="E43" s="44" t="s">
        <v>134</v>
      </c>
      <c r="F43" s="44">
        <v>16</v>
      </c>
      <c r="G43" s="44" t="s">
        <v>111</v>
      </c>
      <c r="H43" s="44" t="s">
        <v>120</v>
      </c>
      <c r="I43" s="44" t="s">
        <v>656</v>
      </c>
      <c r="J43" s="44">
        <v>6</v>
      </c>
      <c r="K43" s="44">
        <v>0</v>
      </c>
      <c r="L43" s="45"/>
      <c r="M43" s="44">
        <v>3957</v>
      </c>
      <c r="N43" s="46">
        <f t="shared" si="0"/>
        <v>1.5163002274450341E-3</v>
      </c>
      <c r="O43" s="47" t="str">
        <f t="shared" si="1"/>
        <v/>
      </c>
      <c r="P43" s="44">
        <v>114</v>
      </c>
      <c r="Q43" s="44">
        <v>3</v>
      </c>
      <c r="R43" s="44">
        <v>1</v>
      </c>
      <c r="S43" s="44" t="s">
        <v>1067</v>
      </c>
      <c r="T43" s="44" t="s">
        <v>1068</v>
      </c>
      <c r="U43" s="44"/>
      <c r="V43" s="44"/>
      <c r="W43" s="44" t="s">
        <v>1222</v>
      </c>
      <c r="X43" s="48" t="s">
        <v>1223</v>
      </c>
      <c r="Y43" s="44" t="s">
        <v>1224</v>
      </c>
    </row>
    <row r="44" spans="1:25" x14ac:dyDescent="0.25">
      <c r="A44" s="44" t="s">
        <v>1065</v>
      </c>
      <c r="B44" s="44" t="s">
        <v>224</v>
      </c>
      <c r="C44" s="44" t="s">
        <v>1225</v>
      </c>
      <c r="D44" s="44" t="s">
        <v>146</v>
      </c>
      <c r="E44" s="44" t="s">
        <v>130</v>
      </c>
      <c r="F44" s="44">
        <v>17</v>
      </c>
      <c r="G44" s="44" t="s">
        <v>111</v>
      </c>
      <c r="H44" s="44" t="s">
        <v>120</v>
      </c>
      <c r="I44" s="44" t="s">
        <v>650</v>
      </c>
      <c r="J44" s="44">
        <v>5</v>
      </c>
      <c r="K44" s="44">
        <v>0</v>
      </c>
      <c r="L44" s="45"/>
      <c r="M44" s="44">
        <v>3957</v>
      </c>
      <c r="N44" s="46">
        <f t="shared" si="0"/>
        <v>1.2635835228708618E-3</v>
      </c>
      <c r="O44" s="47" t="str">
        <f t="shared" si="1"/>
        <v/>
      </c>
      <c r="P44" s="44">
        <v>156</v>
      </c>
      <c r="Q44" s="44">
        <v>3</v>
      </c>
      <c r="R44" s="44">
        <v>2</v>
      </c>
      <c r="S44" s="44" t="s">
        <v>1067</v>
      </c>
      <c r="T44" s="44" t="s">
        <v>1067</v>
      </c>
      <c r="U44" s="44" t="s">
        <v>1069</v>
      </c>
      <c r="V44" s="44"/>
      <c r="W44" s="44" t="s">
        <v>1226</v>
      </c>
      <c r="X44" s="48" t="s">
        <v>1227</v>
      </c>
      <c r="Y44" s="44" t="s">
        <v>1228</v>
      </c>
    </row>
    <row r="45" spans="1:25" x14ac:dyDescent="0.25">
      <c r="A45" s="44" t="s">
        <v>1065</v>
      </c>
      <c r="B45" s="44" t="s">
        <v>224</v>
      </c>
      <c r="C45" s="44" t="s">
        <v>201</v>
      </c>
      <c r="D45" s="44" t="s">
        <v>146</v>
      </c>
      <c r="E45" s="44" t="s">
        <v>126</v>
      </c>
      <c r="F45" s="44">
        <v>16</v>
      </c>
      <c r="G45" s="44" t="s">
        <v>111</v>
      </c>
      <c r="H45" s="44" t="s">
        <v>121</v>
      </c>
      <c r="I45" s="44" t="s">
        <v>650</v>
      </c>
      <c r="J45" s="44">
        <v>3</v>
      </c>
      <c r="K45" s="44">
        <v>0</v>
      </c>
      <c r="L45" s="45"/>
      <c r="M45" s="44">
        <v>3957</v>
      </c>
      <c r="N45" s="46">
        <f t="shared" si="0"/>
        <v>7.5815011372251705E-4</v>
      </c>
      <c r="O45" s="47" t="str">
        <f t="shared" si="1"/>
        <v/>
      </c>
      <c r="P45" s="44">
        <v>124</v>
      </c>
      <c r="Q45" s="44">
        <v>3</v>
      </c>
      <c r="R45" s="44">
        <v>4</v>
      </c>
      <c r="S45" s="44" t="s">
        <v>1067</v>
      </c>
      <c r="T45" s="44" t="s">
        <v>1067</v>
      </c>
      <c r="U45" s="44" t="s">
        <v>1069</v>
      </c>
      <c r="V45" s="44"/>
      <c r="W45" s="44" t="s">
        <v>200</v>
      </c>
      <c r="X45" s="48" t="s">
        <v>202</v>
      </c>
      <c r="Y45" s="44" t="s">
        <v>1229</v>
      </c>
    </row>
    <row r="46" spans="1:25" x14ac:dyDescent="0.25">
      <c r="A46" s="44" t="s">
        <v>1065</v>
      </c>
      <c r="B46" s="44" t="s">
        <v>224</v>
      </c>
      <c r="C46" s="44" t="s">
        <v>1230</v>
      </c>
      <c r="D46" s="44" t="s">
        <v>146</v>
      </c>
      <c r="E46" s="44" t="s">
        <v>134</v>
      </c>
      <c r="F46" s="44">
        <v>17</v>
      </c>
      <c r="G46" s="44" t="s">
        <v>108</v>
      </c>
      <c r="H46" s="44" t="s">
        <v>114</v>
      </c>
      <c r="I46" s="44" t="s">
        <v>656</v>
      </c>
      <c r="J46" s="44">
        <v>30</v>
      </c>
      <c r="K46" s="44">
        <v>0</v>
      </c>
      <c r="L46" s="45">
        <v>1931</v>
      </c>
      <c r="M46" s="44">
        <v>3957</v>
      </c>
      <c r="N46" s="46">
        <f t="shared" si="0"/>
        <v>7.5815011372251705E-3</v>
      </c>
      <c r="O46" s="47">
        <f t="shared" si="1"/>
        <v>0.48799595653272682</v>
      </c>
      <c r="P46" s="44">
        <v>30</v>
      </c>
      <c r="Q46" s="44">
        <v>5</v>
      </c>
      <c r="R46" s="44">
        <v>3</v>
      </c>
      <c r="S46" s="44" t="s">
        <v>1068</v>
      </c>
      <c r="T46" s="44" t="s">
        <v>1068</v>
      </c>
      <c r="U46" s="44" t="s">
        <v>1069</v>
      </c>
      <c r="V46" s="44"/>
      <c r="W46" s="44" t="s">
        <v>1231</v>
      </c>
      <c r="X46" s="48" t="s">
        <v>1232</v>
      </c>
      <c r="Y46" s="44" t="s">
        <v>1233</v>
      </c>
    </row>
    <row r="47" spans="1:25" x14ac:dyDescent="0.25">
      <c r="A47" s="44" t="s">
        <v>1065</v>
      </c>
      <c r="B47" s="44" t="s">
        <v>224</v>
      </c>
      <c r="C47" s="44" t="s">
        <v>1234</v>
      </c>
      <c r="D47" s="44" t="s">
        <v>146</v>
      </c>
      <c r="E47" s="44" t="s">
        <v>132</v>
      </c>
      <c r="F47" s="44">
        <v>12</v>
      </c>
      <c r="G47" s="44" t="s">
        <v>108</v>
      </c>
      <c r="H47" s="44" t="s">
        <v>120</v>
      </c>
      <c r="I47" s="44" t="s">
        <v>638</v>
      </c>
      <c r="J47" s="44">
        <v>16</v>
      </c>
      <c r="K47" s="44">
        <v>4</v>
      </c>
      <c r="L47" s="45">
        <v>1883</v>
      </c>
      <c r="M47" s="44">
        <v>3957</v>
      </c>
      <c r="N47" s="46">
        <f t="shared" si="0"/>
        <v>5.0543340914834473E-3</v>
      </c>
      <c r="O47" s="47">
        <f t="shared" si="1"/>
        <v>0.47586555471316655</v>
      </c>
      <c r="P47" s="44">
        <v>109</v>
      </c>
      <c r="Q47" s="44">
        <v>0</v>
      </c>
      <c r="R47" s="44">
        <v>2</v>
      </c>
      <c r="S47" s="44" t="s">
        <v>1067</v>
      </c>
      <c r="T47" s="44" t="s">
        <v>1068</v>
      </c>
      <c r="U47" s="44" t="s">
        <v>1069</v>
      </c>
      <c r="V47" s="44"/>
      <c r="W47" s="44" t="s">
        <v>1235</v>
      </c>
      <c r="X47" s="48" t="s">
        <v>1236</v>
      </c>
      <c r="Y47" s="44" t="s">
        <v>1237</v>
      </c>
    </row>
    <row r="48" spans="1:25" x14ac:dyDescent="0.25">
      <c r="A48" s="44" t="s">
        <v>1065</v>
      </c>
      <c r="B48" s="44" t="s">
        <v>224</v>
      </c>
      <c r="C48" s="44" t="s">
        <v>1238</v>
      </c>
      <c r="D48" s="44" t="s">
        <v>146</v>
      </c>
      <c r="E48" s="44" t="s">
        <v>130</v>
      </c>
      <c r="F48" s="44">
        <v>16</v>
      </c>
      <c r="G48" s="44" t="s">
        <v>108</v>
      </c>
      <c r="H48" s="44" t="s">
        <v>115</v>
      </c>
      <c r="I48" s="44" t="s">
        <v>656</v>
      </c>
      <c r="J48" s="44">
        <v>32</v>
      </c>
      <c r="K48" s="44">
        <v>2</v>
      </c>
      <c r="L48" s="45">
        <v>2845</v>
      </c>
      <c r="M48" s="44">
        <v>3957</v>
      </c>
      <c r="N48" s="46">
        <f t="shared" si="0"/>
        <v>8.5923679555218596E-3</v>
      </c>
      <c r="O48" s="47">
        <f t="shared" si="1"/>
        <v>0.71897902451352036</v>
      </c>
      <c r="P48" s="44">
        <v>122</v>
      </c>
      <c r="Q48" s="44">
        <v>5</v>
      </c>
      <c r="R48" s="44">
        <v>6</v>
      </c>
      <c r="S48" s="44" t="s">
        <v>1067</v>
      </c>
      <c r="T48" s="44" t="s">
        <v>1068</v>
      </c>
      <c r="U48" s="44"/>
      <c r="V48" s="44"/>
      <c r="W48" s="44" t="s">
        <v>1239</v>
      </c>
      <c r="X48" s="48" t="s">
        <v>1240</v>
      </c>
      <c r="Y48" s="44" t="s">
        <v>1241</v>
      </c>
    </row>
    <row r="49" spans="1:25" x14ac:dyDescent="0.25">
      <c r="A49" s="44" t="s">
        <v>1065</v>
      </c>
      <c r="B49" s="44" t="s">
        <v>224</v>
      </c>
      <c r="C49" s="44" t="s">
        <v>1242</v>
      </c>
      <c r="D49" s="44" t="s">
        <v>146</v>
      </c>
      <c r="E49" s="44" t="s">
        <v>134</v>
      </c>
      <c r="F49" s="44">
        <v>10</v>
      </c>
      <c r="G49" s="44" t="s">
        <v>111</v>
      </c>
      <c r="H49" s="44" t="s">
        <v>116</v>
      </c>
      <c r="I49" s="44" t="s">
        <v>656</v>
      </c>
      <c r="J49" s="44">
        <v>15</v>
      </c>
      <c r="K49" s="44">
        <v>2</v>
      </c>
      <c r="L49" s="45"/>
      <c r="M49" s="44">
        <v>3957</v>
      </c>
      <c r="N49" s="46">
        <f t="shared" si="0"/>
        <v>4.2961839777609298E-3</v>
      </c>
      <c r="O49" s="47" t="str">
        <f t="shared" si="1"/>
        <v/>
      </c>
      <c r="P49" s="44">
        <v>97</v>
      </c>
      <c r="Q49" s="44">
        <v>0</v>
      </c>
      <c r="R49" s="44">
        <v>5</v>
      </c>
      <c r="S49" s="44" t="s">
        <v>1067</v>
      </c>
      <c r="T49" s="44" t="s">
        <v>1067</v>
      </c>
      <c r="U49" s="44"/>
      <c r="V49" s="44"/>
      <c r="W49" s="44" t="s">
        <v>1243</v>
      </c>
      <c r="X49" s="48" t="s">
        <v>1244</v>
      </c>
      <c r="Y49" s="44" t="s">
        <v>1245</v>
      </c>
    </row>
    <row r="50" spans="1:25" x14ac:dyDescent="0.25">
      <c r="A50" s="44" t="s">
        <v>1065</v>
      </c>
      <c r="B50" s="44" t="s">
        <v>224</v>
      </c>
      <c r="C50" s="44" t="s">
        <v>176</v>
      </c>
      <c r="D50" s="44" t="s">
        <v>145</v>
      </c>
      <c r="E50" s="44" t="s">
        <v>128</v>
      </c>
      <c r="F50" s="44">
        <v>18</v>
      </c>
      <c r="G50" s="44" t="s">
        <v>108</v>
      </c>
      <c r="H50" s="44" t="s">
        <v>114</v>
      </c>
      <c r="I50" s="44" t="s">
        <v>650</v>
      </c>
      <c r="J50" s="44">
        <v>66</v>
      </c>
      <c r="K50" s="44">
        <v>0</v>
      </c>
      <c r="L50" s="45">
        <v>6062</v>
      </c>
      <c r="M50" s="44">
        <v>3957</v>
      </c>
      <c r="N50" s="46">
        <f t="shared" si="0"/>
        <v>1.6679302501895376E-2</v>
      </c>
      <c r="O50" s="47">
        <f t="shared" si="1"/>
        <v>1.5319686631286329</v>
      </c>
      <c r="P50" s="44">
        <v>11</v>
      </c>
      <c r="Q50" s="44">
        <v>5</v>
      </c>
      <c r="R50" s="44">
        <v>1</v>
      </c>
      <c r="S50" s="44" t="s">
        <v>1068</v>
      </c>
      <c r="T50" s="44" t="s">
        <v>1067</v>
      </c>
      <c r="U50" s="44"/>
      <c r="V50" s="44"/>
      <c r="W50" s="44" t="s">
        <v>175</v>
      </c>
      <c r="X50" s="48" t="s">
        <v>177</v>
      </c>
      <c r="Y50" s="44" t="s">
        <v>1246</v>
      </c>
    </row>
    <row r="51" spans="1:25" x14ac:dyDescent="0.25">
      <c r="A51" s="44" t="s">
        <v>1065</v>
      </c>
      <c r="B51" s="44" t="s">
        <v>224</v>
      </c>
      <c r="C51" s="44" t="s">
        <v>176</v>
      </c>
      <c r="D51" s="44" t="s">
        <v>145</v>
      </c>
      <c r="E51" s="44" t="s">
        <v>128</v>
      </c>
      <c r="F51" s="44">
        <v>14</v>
      </c>
      <c r="G51" s="44" t="s">
        <v>111</v>
      </c>
      <c r="H51" s="44" t="s">
        <v>120</v>
      </c>
      <c r="I51" s="44" t="s">
        <v>656</v>
      </c>
      <c r="J51" s="44">
        <v>9</v>
      </c>
      <c r="K51" s="44">
        <v>0</v>
      </c>
      <c r="L51" s="45"/>
      <c r="M51" s="44">
        <v>3957</v>
      </c>
      <c r="N51" s="46">
        <f t="shared" si="0"/>
        <v>2.2744503411675512E-3</v>
      </c>
      <c r="O51" s="47" t="str">
        <f t="shared" si="1"/>
        <v/>
      </c>
      <c r="P51" s="44">
        <v>52</v>
      </c>
      <c r="Q51" s="44">
        <v>0</v>
      </c>
      <c r="R51" s="44">
        <v>5</v>
      </c>
      <c r="S51" s="44" t="s">
        <v>1067</v>
      </c>
      <c r="T51" s="44" t="s">
        <v>1068</v>
      </c>
      <c r="U51" s="44"/>
      <c r="V51" s="44"/>
      <c r="W51" s="44" t="s">
        <v>1247</v>
      </c>
      <c r="X51" s="48" t="s">
        <v>1248</v>
      </c>
      <c r="Y51" s="44" t="s">
        <v>1249</v>
      </c>
    </row>
    <row r="52" spans="1:25" x14ac:dyDescent="0.25">
      <c r="A52" s="44" t="s">
        <v>1065</v>
      </c>
      <c r="B52" s="44" t="s">
        <v>224</v>
      </c>
      <c r="C52" s="44" t="s">
        <v>1250</v>
      </c>
      <c r="D52" s="44" t="s">
        <v>145</v>
      </c>
      <c r="E52" s="44" t="s">
        <v>137</v>
      </c>
      <c r="F52" s="44">
        <v>17</v>
      </c>
      <c r="G52" s="44" t="s">
        <v>108</v>
      </c>
      <c r="H52" s="44" t="s">
        <v>114</v>
      </c>
      <c r="I52" s="44" t="s">
        <v>656</v>
      </c>
      <c r="J52" s="44">
        <v>24</v>
      </c>
      <c r="K52" s="44">
        <v>0</v>
      </c>
      <c r="L52" s="45">
        <v>1937</v>
      </c>
      <c r="M52" s="44">
        <v>3957</v>
      </c>
      <c r="N52" s="46">
        <f t="shared" si="0"/>
        <v>6.0652009097801364E-3</v>
      </c>
      <c r="O52" s="47">
        <f t="shared" si="1"/>
        <v>0.48951225676017185</v>
      </c>
      <c r="P52" s="44">
        <v>41</v>
      </c>
      <c r="Q52" s="44">
        <v>5</v>
      </c>
      <c r="R52" s="44">
        <v>3</v>
      </c>
      <c r="S52" s="44" t="s">
        <v>1067</v>
      </c>
      <c r="T52" s="44" t="s">
        <v>1068</v>
      </c>
      <c r="U52" s="44"/>
      <c r="V52" s="44"/>
      <c r="W52" s="44" t="s">
        <v>1251</v>
      </c>
      <c r="X52" s="48" t="s">
        <v>1252</v>
      </c>
      <c r="Y52" s="44" t="s">
        <v>1253</v>
      </c>
    </row>
    <row r="53" spans="1:25" x14ac:dyDescent="0.25">
      <c r="A53" s="44" t="s">
        <v>1065</v>
      </c>
      <c r="B53" s="44" t="s">
        <v>224</v>
      </c>
      <c r="C53" s="44" t="s">
        <v>1254</v>
      </c>
      <c r="D53" s="44" t="s">
        <v>145</v>
      </c>
      <c r="E53" s="44" t="s">
        <v>136</v>
      </c>
      <c r="F53" s="44">
        <v>15</v>
      </c>
      <c r="G53" s="44" t="s">
        <v>108</v>
      </c>
      <c r="H53" s="44" t="s">
        <v>122</v>
      </c>
      <c r="I53" s="44" t="s">
        <v>656</v>
      </c>
      <c r="J53" s="44">
        <v>49</v>
      </c>
      <c r="K53" s="44">
        <v>6</v>
      </c>
      <c r="L53" s="45">
        <v>3314</v>
      </c>
      <c r="M53" s="44">
        <v>3957</v>
      </c>
      <c r="N53" s="46">
        <f t="shared" si="0"/>
        <v>1.3899418751579479E-2</v>
      </c>
      <c r="O53" s="47">
        <f t="shared" si="1"/>
        <v>0.83750315895880723</v>
      </c>
      <c r="P53" s="44">
        <v>37</v>
      </c>
      <c r="Q53" s="44">
        <v>5</v>
      </c>
      <c r="R53" s="44">
        <v>3</v>
      </c>
      <c r="S53" s="44" t="s">
        <v>1068</v>
      </c>
      <c r="T53" s="44" t="s">
        <v>1068</v>
      </c>
      <c r="U53" s="44" t="s">
        <v>1255</v>
      </c>
      <c r="V53" s="44"/>
      <c r="W53" s="44" t="s">
        <v>1256</v>
      </c>
      <c r="X53" s="48" t="s">
        <v>1257</v>
      </c>
      <c r="Y53" s="44" t="s">
        <v>1258</v>
      </c>
    </row>
    <row r="54" spans="1:25" x14ac:dyDescent="0.25">
      <c r="A54" s="44" t="s">
        <v>1065</v>
      </c>
      <c r="B54" s="44" t="s">
        <v>224</v>
      </c>
      <c r="C54" s="44" t="s">
        <v>1259</v>
      </c>
      <c r="D54" s="44" t="s">
        <v>145</v>
      </c>
      <c r="E54" s="44" t="s">
        <v>134</v>
      </c>
      <c r="F54" s="44">
        <v>18</v>
      </c>
      <c r="G54" s="44" t="s">
        <v>108</v>
      </c>
      <c r="H54" s="44" t="s">
        <v>118</v>
      </c>
      <c r="I54" s="44" t="s">
        <v>656</v>
      </c>
      <c r="J54" s="44">
        <v>25</v>
      </c>
      <c r="K54" s="44">
        <v>1</v>
      </c>
      <c r="L54" s="45">
        <v>71543</v>
      </c>
      <c r="M54" s="44">
        <v>3957</v>
      </c>
      <c r="N54" s="46">
        <f t="shared" si="0"/>
        <v>6.5706343189284814E-3</v>
      </c>
      <c r="O54" s="47">
        <f t="shared" si="1"/>
        <v>18.080111195350014</v>
      </c>
      <c r="P54" s="44">
        <v>52</v>
      </c>
      <c r="Q54" s="44">
        <v>5</v>
      </c>
      <c r="R54" s="44">
        <v>3</v>
      </c>
      <c r="S54" s="44" t="s">
        <v>1068</v>
      </c>
      <c r="T54" s="44" t="s">
        <v>1068</v>
      </c>
      <c r="U54" s="44"/>
      <c r="V54" s="44"/>
      <c r="W54" s="44" t="s">
        <v>1260</v>
      </c>
      <c r="X54" s="48" t="s">
        <v>1261</v>
      </c>
      <c r="Y54" s="44" t="s">
        <v>1262</v>
      </c>
    </row>
    <row r="55" spans="1:25" x14ac:dyDescent="0.25">
      <c r="A55" s="44" t="s">
        <v>1065</v>
      </c>
      <c r="B55" s="44" t="s">
        <v>224</v>
      </c>
      <c r="C55" s="44" t="s">
        <v>1259</v>
      </c>
      <c r="D55" s="44" t="s">
        <v>145</v>
      </c>
      <c r="E55" s="44" t="s">
        <v>134</v>
      </c>
      <c r="F55" s="44">
        <v>15</v>
      </c>
      <c r="G55" s="44" t="s">
        <v>108</v>
      </c>
      <c r="H55" s="44" t="s">
        <v>116</v>
      </c>
      <c r="I55" s="44" t="s">
        <v>656</v>
      </c>
      <c r="J55" s="44">
        <v>50</v>
      </c>
      <c r="K55" s="44">
        <v>0</v>
      </c>
      <c r="L55" s="45">
        <v>3459</v>
      </c>
      <c r="M55" s="44">
        <v>3957</v>
      </c>
      <c r="N55" s="46">
        <f t="shared" si="0"/>
        <v>1.2635835228708618E-2</v>
      </c>
      <c r="O55" s="47">
        <f t="shared" si="1"/>
        <v>0.87414708112206219</v>
      </c>
      <c r="P55" s="44">
        <v>30</v>
      </c>
      <c r="Q55" s="44">
        <v>5</v>
      </c>
      <c r="R55" s="44">
        <v>1</v>
      </c>
      <c r="S55" s="44" t="s">
        <v>1068</v>
      </c>
      <c r="T55" s="44" t="s">
        <v>1067</v>
      </c>
      <c r="U55" s="44"/>
      <c r="V55" s="44"/>
      <c r="W55" s="44" t="s">
        <v>1263</v>
      </c>
      <c r="X55" s="48" t="s">
        <v>1264</v>
      </c>
      <c r="Y55" s="44" t="s">
        <v>1265</v>
      </c>
    </row>
    <row r="56" spans="1:25" x14ac:dyDescent="0.25">
      <c r="A56" s="44" t="s">
        <v>1065</v>
      </c>
      <c r="B56" s="44" t="s">
        <v>224</v>
      </c>
      <c r="C56" s="44" t="s">
        <v>1266</v>
      </c>
      <c r="D56" s="44" t="s">
        <v>145</v>
      </c>
      <c r="E56" s="44" t="s">
        <v>130</v>
      </c>
      <c r="F56" s="44">
        <v>18</v>
      </c>
      <c r="G56" s="44" t="s">
        <v>108</v>
      </c>
      <c r="H56" s="44" t="s">
        <v>114</v>
      </c>
      <c r="I56" s="44" t="s">
        <v>656</v>
      </c>
      <c r="J56" s="44">
        <v>27</v>
      </c>
      <c r="K56" s="44">
        <v>6</v>
      </c>
      <c r="L56" s="45">
        <v>3259</v>
      </c>
      <c r="M56" s="44">
        <v>3957</v>
      </c>
      <c r="N56" s="46">
        <f t="shared" si="0"/>
        <v>8.339651250947688E-3</v>
      </c>
      <c r="O56" s="47">
        <f t="shared" si="1"/>
        <v>0.82360374020722771</v>
      </c>
      <c r="P56" s="44">
        <v>11</v>
      </c>
      <c r="Q56" s="44">
        <v>5</v>
      </c>
      <c r="R56" s="44">
        <v>2</v>
      </c>
      <c r="S56" s="44" t="s">
        <v>1068</v>
      </c>
      <c r="T56" s="44" t="s">
        <v>1068</v>
      </c>
      <c r="U56" s="44"/>
      <c r="V56" s="44"/>
      <c r="W56" s="44" t="s">
        <v>1267</v>
      </c>
      <c r="X56" s="48" t="s">
        <v>1268</v>
      </c>
      <c r="Y56" s="44" t="s">
        <v>1269</v>
      </c>
    </row>
    <row r="57" spans="1:25" x14ac:dyDescent="0.25">
      <c r="A57" s="44" t="s">
        <v>1065</v>
      </c>
      <c r="B57" s="44" t="s">
        <v>224</v>
      </c>
      <c r="C57" s="44" t="s">
        <v>1270</v>
      </c>
      <c r="D57" s="44" t="s">
        <v>145</v>
      </c>
      <c r="E57" s="44" t="s">
        <v>126</v>
      </c>
      <c r="F57" s="44">
        <v>18</v>
      </c>
      <c r="G57" s="44" t="s">
        <v>108</v>
      </c>
      <c r="H57" s="44" t="s">
        <v>118</v>
      </c>
      <c r="I57" s="44" t="s">
        <v>650</v>
      </c>
      <c r="J57" s="44">
        <v>18</v>
      </c>
      <c r="K57" s="44">
        <v>1</v>
      </c>
      <c r="L57" s="45">
        <v>7176</v>
      </c>
      <c r="M57" s="44">
        <v>3957</v>
      </c>
      <c r="N57" s="46">
        <f t="shared" si="0"/>
        <v>4.8016173869092748E-3</v>
      </c>
      <c r="O57" s="47">
        <f t="shared" si="1"/>
        <v>1.8134950720242609</v>
      </c>
      <c r="P57" s="44">
        <v>50</v>
      </c>
      <c r="Q57" s="44">
        <v>5</v>
      </c>
      <c r="R57" s="44">
        <v>2</v>
      </c>
      <c r="S57" s="44" t="s">
        <v>1068</v>
      </c>
      <c r="T57" s="44" t="s">
        <v>1067</v>
      </c>
      <c r="U57" s="44"/>
      <c r="V57" s="44"/>
      <c r="W57" s="44" t="s">
        <v>1271</v>
      </c>
      <c r="X57" s="48" t="s">
        <v>1272</v>
      </c>
      <c r="Y57" s="44" t="s">
        <v>1273</v>
      </c>
    </row>
    <row r="58" spans="1:25" x14ac:dyDescent="0.25">
      <c r="A58" s="44" t="s">
        <v>1065</v>
      </c>
      <c r="B58" s="44" t="s">
        <v>224</v>
      </c>
      <c r="C58" s="44" t="s">
        <v>1274</v>
      </c>
      <c r="D58" s="44" t="s">
        <v>145</v>
      </c>
      <c r="E58" s="44" t="s">
        <v>136</v>
      </c>
      <c r="F58" s="44">
        <v>17</v>
      </c>
      <c r="G58" s="44" t="s">
        <v>108</v>
      </c>
      <c r="H58" s="44" t="s">
        <v>114</v>
      </c>
      <c r="I58" s="44" t="s">
        <v>656</v>
      </c>
      <c r="J58" s="44">
        <v>44</v>
      </c>
      <c r="K58" s="44">
        <v>7</v>
      </c>
      <c r="L58" s="45">
        <v>8902</v>
      </c>
      <c r="M58" s="44">
        <v>3957</v>
      </c>
      <c r="N58" s="46">
        <f t="shared" si="0"/>
        <v>1.2888551933282789E-2</v>
      </c>
      <c r="O58" s="47">
        <f t="shared" si="1"/>
        <v>2.2496841041192823</v>
      </c>
      <c r="P58" s="44">
        <v>28</v>
      </c>
      <c r="Q58" s="44">
        <v>5</v>
      </c>
      <c r="R58" s="44">
        <v>2</v>
      </c>
      <c r="S58" s="44" t="s">
        <v>1068</v>
      </c>
      <c r="T58" s="44" t="s">
        <v>1068</v>
      </c>
      <c r="U58" s="44"/>
      <c r="V58" s="44"/>
      <c r="W58" s="44" t="s">
        <v>1275</v>
      </c>
      <c r="X58" s="48" t="s">
        <v>1276</v>
      </c>
      <c r="Y58" s="44" t="s">
        <v>1277</v>
      </c>
    </row>
    <row r="59" spans="1:25" x14ac:dyDescent="0.25">
      <c r="A59" s="44" t="s">
        <v>1065</v>
      </c>
      <c r="B59" s="44" t="s">
        <v>224</v>
      </c>
      <c r="C59" s="44" t="s">
        <v>1278</v>
      </c>
      <c r="D59" s="44" t="s">
        <v>145</v>
      </c>
      <c r="E59" s="44" t="s">
        <v>132</v>
      </c>
      <c r="F59" s="44">
        <v>18</v>
      </c>
      <c r="G59" s="44" t="s">
        <v>108</v>
      </c>
      <c r="H59" s="44" t="s">
        <v>114</v>
      </c>
      <c r="I59" s="44" t="s">
        <v>656</v>
      </c>
      <c r="J59" s="44">
        <v>37</v>
      </c>
      <c r="K59" s="44">
        <v>4</v>
      </c>
      <c r="L59" s="45">
        <v>3838</v>
      </c>
      <c r="M59" s="44">
        <v>3957</v>
      </c>
      <c r="N59" s="46">
        <f t="shared" si="0"/>
        <v>1.0361384887541066E-2</v>
      </c>
      <c r="O59" s="47">
        <f t="shared" si="1"/>
        <v>0.9699267121556735</v>
      </c>
      <c r="P59" s="44">
        <v>39</v>
      </c>
      <c r="Q59" s="44">
        <v>5</v>
      </c>
      <c r="R59" s="44">
        <v>1</v>
      </c>
      <c r="S59" s="44" t="s">
        <v>1068</v>
      </c>
      <c r="T59" s="44" t="s">
        <v>1068</v>
      </c>
      <c r="U59" s="44"/>
      <c r="V59" s="44"/>
      <c r="W59" s="44" t="s">
        <v>1279</v>
      </c>
      <c r="X59" s="48" t="s">
        <v>1280</v>
      </c>
      <c r="Y59" s="44" t="s">
        <v>1281</v>
      </c>
    </row>
    <row r="60" spans="1:25" x14ac:dyDescent="0.25">
      <c r="A60" s="44" t="s">
        <v>1065</v>
      </c>
      <c r="B60" s="44" t="s">
        <v>224</v>
      </c>
      <c r="C60" s="44" t="s">
        <v>1282</v>
      </c>
      <c r="D60" s="44" t="s">
        <v>145</v>
      </c>
      <c r="E60" s="44" t="s">
        <v>128</v>
      </c>
      <c r="F60" s="44">
        <v>18</v>
      </c>
      <c r="G60" s="44" t="s">
        <v>108</v>
      </c>
      <c r="H60" s="44" t="s">
        <v>122</v>
      </c>
      <c r="I60" s="44" t="s">
        <v>656</v>
      </c>
      <c r="J60" s="44">
        <v>27</v>
      </c>
      <c r="K60" s="44">
        <v>0</v>
      </c>
      <c r="L60" s="45">
        <v>19383</v>
      </c>
      <c r="M60" s="44">
        <v>3957</v>
      </c>
      <c r="N60" s="46">
        <f t="shared" si="0"/>
        <v>6.8233510235026539E-3</v>
      </c>
      <c r="O60" s="47">
        <f t="shared" si="1"/>
        <v>4.8984078847611823</v>
      </c>
      <c r="P60" s="44">
        <v>25</v>
      </c>
      <c r="Q60" s="44">
        <v>5</v>
      </c>
      <c r="R60" s="44">
        <v>1</v>
      </c>
      <c r="S60" s="44" t="s">
        <v>1068</v>
      </c>
      <c r="T60" s="44" t="s">
        <v>1068</v>
      </c>
      <c r="U60" s="44" t="s">
        <v>1283</v>
      </c>
      <c r="V60" s="44"/>
      <c r="W60" s="44" t="s">
        <v>1284</v>
      </c>
      <c r="X60" s="48" t="s">
        <v>1285</v>
      </c>
      <c r="Y60" s="44" t="s">
        <v>1286</v>
      </c>
    </row>
    <row r="61" spans="1:25" x14ac:dyDescent="0.25">
      <c r="A61" s="44" t="s">
        <v>1065</v>
      </c>
      <c r="B61" s="44" t="s">
        <v>224</v>
      </c>
      <c r="C61" s="44" t="s">
        <v>1287</v>
      </c>
      <c r="D61" s="44" t="s">
        <v>145</v>
      </c>
      <c r="E61" s="44" t="s">
        <v>137</v>
      </c>
      <c r="F61" s="44">
        <v>16</v>
      </c>
      <c r="G61" s="44" t="s">
        <v>108</v>
      </c>
      <c r="H61" s="44" t="s">
        <v>114</v>
      </c>
      <c r="I61" s="44" t="s">
        <v>650</v>
      </c>
      <c r="J61" s="44">
        <v>43</v>
      </c>
      <c r="K61" s="44">
        <v>0</v>
      </c>
      <c r="L61" s="45">
        <v>6941</v>
      </c>
      <c r="M61" s="44">
        <v>3957</v>
      </c>
      <c r="N61" s="46">
        <f t="shared" si="0"/>
        <v>1.0866818296689411E-2</v>
      </c>
      <c r="O61" s="47">
        <f t="shared" si="1"/>
        <v>1.7541066464493302</v>
      </c>
      <c r="P61" s="44">
        <v>16</v>
      </c>
      <c r="Q61" s="44">
        <v>5</v>
      </c>
      <c r="R61" s="44">
        <v>1</v>
      </c>
      <c r="S61" s="44" t="s">
        <v>1068</v>
      </c>
      <c r="T61" s="44" t="s">
        <v>1067</v>
      </c>
      <c r="U61" s="44"/>
      <c r="V61" s="44"/>
      <c r="W61" s="44" t="s">
        <v>1288</v>
      </c>
      <c r="X61" s="48" t="s">
        <v>1289</v>
      </c>
      <c r="Y61" s="44" t="s">
        <v>1290</v>
      </c>
    </row>
    <row r="62" spans="1:25" x14ac:dyDescent="0.25">
      <c r="A62" s="44" t="s">
        <v>1065</v>
      </c>
      <c r="B62" s="44" t="s">
        <v>224</v>
      </c>
      <c r="C62" s="44" t="s">
        <v>164</v>
      </c>
      <c r="D62" s="44" t="s">
        <v>145</v>
      </c>
      <c r="E62" s="44" t="s">
        <v>136</v>
      </c>
      <c r="F62" s="44">
        <v>7</v>
      </c>
      <c r="G62" s="44" t="s">
        <v>111</v>
      </c>
      <c r="H62" s="44" t="s">
        <v>120</v>
      </c>
      <c r="I62" s="44" t="s">
        <v>656</v>
      </c>
      <c r="J62" s="44">
        <v>128</v>
      </c>
      <c r="K62" s="44">
        <v>3</v>
      </c>
      <c r="L62" s="45"/>
      <c r="M62" s="44">
        <v>3957</v>
      </c>
      <c r="N62" s="46">
        <f t="shared" si="0"/>
        <v>3.3105888299216575E-2</v>
      </c>
      <c r="O62" s="47" t="str">
        <f t="shared" si="1"/>
        <v/>
      </c>
      <c r="P62" s="44">
        <v>107</v>
      </c>
      <c r="Q62" s="44">
        <v>0</v>
      </c>
      <c r="R62" s="44">
        <v>4</v>
      </c>
      <c r="S62" s="44" t="s">
        <v>1067</v>
      </c>
      <c r="T62" s="44" t="s">
        <v>1068</v>
      </c>
      <c r="U62" s="44" t="s">
        <v>1291</v>
      </c>
      <c r="V62" s="44"/>
      <c r="W62" s="44" t="s">
        <v>163</v>
      </c>
      <c r="X62" s="48" t="s">
        <v>165</v>
      </c>
      <c r="Y62" s="44" t="s">
        <v>1292</v>
      </c>
    </row>
    <row r="63" spans="1:25" x14ac:dyDescent="0.25">
      <c r="A63" s="44" t="s">
        <v>1065</v>
      </c>
      <c r="B63" s="44" t="s">
        <v>224</v>
      </c>
      <c r="C63" s="44" t="s">
        <v>1293</v>
      </c>
      <c r="D63" s="44" t="s">
        <v>145</v>
      </c>
      <c r="E63" s="44" t="s">
        <v>134</v>
      </c>
      <c r="F63" s="44">
        <v>18</v>
      </c>
      <c r="G63" s="44" t="s">
        <v>108</v>
      </c>
      <c r="H63" s="44" t="s">
        <v>121</v>
      </c>
      <c r="I63" s="44" t="s">
        <v>638</v>
      </c>
      <c r="J63" s="44">
        <v>47</v>
      </c>
      <c r="K63" s="44">
        <v>7</v>
      </c>
      <c r="L63" s="45">
        <v>25757</v>
      </c>
      <c r="M63" s="44">
        <v>3957</v>
      </c>
      <c r="N63" s="46">
        <f t="shared" si="0"/>
        <v>1.3646702047005308E-2</v>
      </c>
      <c r="O63" s="47">
        <f t="shared" si="1"/>
        <v>6.5092241597169576</v>
      </c>
      <c r="P63" s="44">
        <v>53</v>
      </c>
      <c r="Q63" s="44">
        <v>5</v>
      </c>
      <c r="R63" s="44">
        <v>2</v>
      </c>
      <c r="S63" s="44" t="s">
        <v>1068</v>
      </c>
      <c r="T63" s="44" t="s">
        <v>1068</v>
      </c>
      <c r="U63" s="44"/>
      <c r="V63" s="44"/>
      <c r="W63" s="44" t="s">
        <v>1294</v>
      </c>
      <c r="X63" s="48" t="s">
        <v>1295</v>
      </c>
      <c r="Y63" s="44" t="s">
        <v>1296</v>
      </c>
    </row>
    <row r="64" spans="1:25" x14ac:dyDescent="0.25">
      <c r="A64" s="44" t="s">
        <v>1065</v>
      </c>
      <c r="B64" s="44" t="s">
        <v>224</v>
      </c>
      <c r="C64" s="44" t="s">
        <v>161</v>
      </c>
      <c r="D64" s="44" t="s">
        <v>145</v>
      </c>
      <c r="E64" s="44" t="s">
        <v>132</v>
      </c>
      <c r="F64" s="44">
        <v>18</v>
      </c>
      <c r="G64" s="44" t="s">
        <v>108</v>
      </c>
      <c r="H64" s="44" t="s">
        <v>120</v>
      </c>
      <c r="I64" s="44" t="s">
        <v>656</v>
      </c>
      <c r="J64" s="44">
        <v>143</v>
      </c>
      <c r="K64" s="44">
        <v>17</v>
      </c>
      <c r="L64" s="45">
        <v>23269</v>
      </c>
      <c r="M64" s="44">
        <v>3957</v>
      </c>
      <c r="N64" s="46">
        <f t="shared" si="0"/>
        <v>4.0434672731867578E-2</v>
      </c>
      <c r="O64" s="47">
        <f t="shared" si="1"/>
        <v>5.8804649987364161</v>
      </c>
      <c r="P64" s="44">
        <v>114</v>
      </c>
      <c r="Q64" s="44">
        <v>5</v>
      </c>
      <c r="R64" s="44">
        <v>3</v>
      </c>
      <c r="S64" s="44" t="s">
        <v>1067</v>
      </c>
      <c r="T64" s="44" t="s">
        <v>1068</v>
      </c>
      <c r="U64" s="44" t="s">
        <v>1297</v>
      </c>
      <c r="V64" s="44"/>
      <c r="W64" s="44" t="s">
        <v>160</v>
      </c>
      <c r="X64" s="48" t="s">
        <v>162</v>
      </c>
      <c r="Y64" s="44" t="s">
        <v>1298</v>
      </c>
    </row>
    <row r="65" spans="1:25" x14ac:dyDescent="0.25">
      <c r="A65" s="44" t="s">
        <v>1065</v>
      </c>
      <c r="B65" s="44" t="s">
        <v>224</v>
      </c>
      <c r="C65" s="44" t="s">
        <v>1299</v>
      </c>
      <c r="D65" s="44" t="s">
        <v>145</v>
      </c>
      <c r="E65" s="44" t="s">
        <v>130</v>
      </c>
      <c r="F65" s="44">
        <v>18</v>
      </c>
      <c r="G65" s="44" t="s">
        <v>108</v>
      </c>
      <c r="H65" s="44" t="s">
        <v>114</v>
      </c>
      <c r="I65" s="44" t="s">
        <v>650</v>
      </c>
      <c r="J65" s="44">
        <v>24</v>
      </c>
      <c r="K65" s="44">
        <v>4</v>
      </c>
      <c r="L65" s="45">
        <v>6797</v>
      </c>
      <c r="M65" s="44">
        <v>3957</v>
      </c>
      <c r="N65" s="46">
        <f t="shared" si="0"/>
        <v>7.0760677280768255E-3</v>
      </c>
      <c r="O65" s="47">
        <f t="shared" si="1"/>
        <v>1.7177154409906494</v>
      </c>
      <c r="P65" s="44">
        <v>34</v>
      </c>
      <c r="Q65" s="44">
        <v>5</v>
      </c>
      <c r="R65" s="44">
        <v>2</v>
      </c>
      <c r="S65" s="44" t="s">
        <v>1068</v>
      </c>
      <c r="T65" s="44" t="s">
        <v>1067</v>
      </c>
      <c r="U65" s="44"/>
      <c r="V65" s="44"/>
      <c r="W65" s="44" t="s">
        <v>1300</v>
      </c>
      <c r="X65" s="48" t="s">
        <v>1301</v>
      </c>
      <c r="Y65" s="44" t="s">
        <v>1302</v>
      </c>
    </row>
    <row r="66" spans="1:25" x14ac:dyDescent="0.25">
      <c r="A66" s="44" t="s">
        <v>1065</v>
      </c>
      <c r="B66" s="44" t="s">
        <v>224</v>
      </c>
      <c r="C66" s="44" t="s">
        <v>167</v>
      </c>
      <c r="D66" s="44" t="s">
        <v>145</v>
      </c>
      <c r="E66" s="44" t="s">
        <v>126</v>
      </c>
      <c r="F66" s="44">
        <v>18</v>
      </c>
      <c r="G66" s="44" t="s">
        <v>108</v>
      </c>
      <c r="H66" s="44" t="s">
        <v>119</v>
      </c>
      <c r="I66" s="44" t="s">
        <v>650</v>
      </c>
      <c r="J66" s="44">
        <v>77</v>
      </c>
      <c r="K66" s="44">
        <v>12</v>
      </c>
      <c r="L66" s="45">
        <v>50049</v>
      </c>
      <c r="M66" s="44">
        <v>3957</v>
      </c>
      <c r="N66" s="46">
        <f t="shared" ref="N66:N129" si="2">(J66+K66)/M66</f>
        <v>2.2491786707101339E-2</v>
      </c>
      <c r="O66" s="47">
        <f t="shared" ref="O66:O129" si="3">IF(L66="","",L66/M66)</f>
        <v>12.648218347232753</v>
      </c>
      <c r="P66" s="44">
        <v>18</v>
      </c>
      <c r="Q66" s="44">
        <v>5</v>
      </c>
      <c r="R66" s="44">
        <v>1</v>
      </c>
      <c r="S66" s="44" t="s">
        <v>1068</v>
      </c>
      <c r="T66" s="44" t="s">
        <v>1067</v>
      </c>
      <c r="U66" s="44" t="s">
        <v>1303</v>
      </c>
      <c r="V66" s="44"/>
      <c r="W66" s="44" t="s">
        <v>166</v>
      </c>
      <c r="X66" s="48" t="s">
        <v>168</v>
      </c>
      <c r="Y66" s="44" t="s">
        <v>1304</v>
      </c>
    </row>
    <row r="67" spans="1:25" x14ac:dyDescent="0.25">
      <c r="A67" s="44" t="s">
        <v>1065</v>
      </c>
      <c r="B67" s="44" t="s">
        <v>224</v>
      </c>
      <c r="C67" s="44" t="s">
        <v>1305</v>
      </c>
      <c r="D67" s="44" t="s">
        <v>145</v>
      </c>
      <c r="E67" s="44" t="s">
        <v>126</v>
      </c>
      <c r="F67" s="44">
        <v>16</v>
      </c>
      <c r="G67" s="44" t="s">
        <v>109</v>
      </c>
      <c r="H67" s="44" t="s">
        <v>121</v>
      </c>
      <c r="I67" s="44" t="s">
        <v>650</v>
      </c>
      <c r="J67" s="44">
        <v>5</v>
      </c>
      <c r="K67" s="44">
        <v>0</v>
      </c>
      <c r="L67" s="45"/>
      <c r="M67" s="44">
        <v>3957</v>
      </c>
      <c r="N67" s="46">
        <f t="shared" si="2"/>
        <v>1.2635835228708618E-3</v>
      </c>
      <c r="O67" s="47" t="str">
        <f t="shared" si="3"/>
        <v/>
      </c>
      <c r="P67" s="44">
        <v>179</v>
      </c>
      <c r="Q67" s="44">
        <v>3</v>
      </c>
      <c r="R67" s="44">
        <v>5</v>
      </c>
      <c r="S67" s="44" t="s">
        <v>1067</v>
      </c>
      <c r="T67" s="44" t="s">
        <v>1067</v>
      </c>
      <c r="U67" s="44"/>
      <c r="V67" s="44"/>
      <c r="W67" s="44" t="s">
        <v>1306</v>
      </c>
      <c r="X67" s="48" t="s">
        <v>1307</v>
      </c>
      <c r="Y67" s="44" t="s">
        <v>1308</v>
      </c>
    </row>
    <row r="68" spans="1:25" x14ac:dyDescent="0.25">
      <c r="A68" s="44" t="s">
        <v>1065</v>
      </c>
      <c r="B68" s="44" t="s">
        <v>224</v>
      </c>
      <c r="C68" s="44" t="s">
        <v>1309</v>
      </c>
      <c r="D68" s="44" t="s">
        <v>144</v>
      </c>
      <c r="E68" s="44" t="s">
        <v>128</v>
      </c>
      <c r="F68" s="44">
        <v>14</v>
      </c>
      <c r="G68" s="44" t="s">
        <v>111</v>
      </c>
      <c r="H68" s="44" t="s">
        <v>121</v>
      </c>
      <c r="I68" s="44" t="s">
        <v>650</v>
      </c>
      <c r="J68" s="44">
        <v>6</v>
      </c>
      <c r="K68" s="44">
        <v>0</v>
      </c>
      <c r="L68" s="45"/>
      <c r="M68" s="44">
        <v>3957</v>
      </c>
      <c r="N68" s="46">
        <f t="shared" si="2"/>
        <v>1.5163002274450341E-3</v>
      </c>
      <c r="O68" s="47" t="str">
        <f t="shared" si="3"/>
        <v/>
      </c>
      <c r="P68" s="44">
        <v>91</v>
      </c>
      <c r="Q68" s="44">
        <v>4</v>
      </c>
      <c r="R68" s="44">
        <v>3</v>
      </c>
      <c r="S68" s="44" t="s">
        <v>1067</v>
      </c>
      <c r="T68" s="44" t="s">
        <v>1067</v>
      </c>
      <c r="U68" s="44" t="s">
        <v>1069</v>
      </c>
      <c r="V68" s="44"/>
      <c r="W68" s="44" t="s">
        <v>1310</v>
      </c>
      <c r="X68" s="48" t="s">
        <v>1311</v>
      </c>
      <c r="Y68" s="44" t="s">
        <v>1312</v>
      </c>
    </row>
    <row r="69" spans="1:25" x14ac:dyDescent="0.25">
      <c r="A69" s="44" t="s">
        <v>1065</v>
      </c>
      <c r="B69" s="44" t="s">
        <v>224</v>
      </c>
      <c r="C69" s="44" t="s">
        <v>1313</v>
      </c>
      <c r="D69" s="44" t="s">
        <v>144</v>
      </c>
      <c r="E69" s="44" t="s">
        <v>134</v>
      </c>
      <c r="F69" s="44">
        <v>17</v>
      </c>
      <c r="G69" s="44" t="s">
        <v>108</v>
      </c>
      <c r="H69" s="44" t="s">
        <v>121</v>
      </c>
      <c r="I69" s="44" t="s">
        <v>656</v>
      </c>
      <c r="J69" s="44">
        <v>10</v>
      </c>
      <c r="K69" s="44">
        <v>0</v>
      </c>
      <c r="L69" s="45">
        <v>23128</v>
      </c>
      <c r="M69" s="44">
        <v>3957</v>
      </c>
      <c r="N69" s="46">
        <f t="shared" si="2"/>
        <v>2.5271670457417236E-3</v>
      </c>
      <c r="O69" s="47">
        <f t="shared" si="3"/>
        <v>5.8448319433914584</v>
      </c>
      <c r="P69" s="44">
        <v>121</v>
      </c>
      <c r="Q69" s="44">
        <v>4</v>
      </c>
      <c r="R69" s="44">
        <v>6</v>
      </c>
      <c r="S69" s="44" t="s">
        <v>1067</v>
      </c>
      <c r="T69" s="44" t="s">
        <v>1067</v>
      </c>
      <c r="U69" s="44" t="s">
        <v>1069</v>
      </c>
      <c r="V69" s="44"/>
      <c r="W69" s="44" t="s">
        <v>1314</v>
      </c>
      <c r="X69" s="48" t="s">
        <v>1315</v>
      </c>
      <c r="Y69" s="44" t="s">
        <v>1316</v>
      </c>
    </row>
    <row r="70" spans="1:25" x14ac:dyDescent="0.25">
      <c r="A70" s="44" t="s">
        <v>1065</v>
      </c>
      <c r="B70" s="44" t="s">
        <v>224</v>
      </c>
      <c r="C70" s="44" t="s">
        <v>1317</v>
      </c>
      <c r="D70" s="44" t="s">
        <v>144</v>
      </c>
      <c r="E70" s="44" t="s">
        <v>132</v>
      </c>
      <c r="F70" s="44">
        <v>9</v>
      </c>
      <c r="G70" s="44" t="s">
        <v>111</v>
      </c>
      <c r="H70" s="44" t="s">
        <v>116</v>
      </c>
      <c r="I70" s="44" t="s">
        <v>656</v>
      </c>
      <c r="J70" s="44">
        <v>4</v>
      </c>
      <c r="K70" s="44">
        <v>0</v>
      </c>
      <c r="L70" s="45"/>
      <c r="M70" s="44">
        <v>3957</v>
      </c>
      <c r="N70" s="46">
        <f t="shared" si="2"/>
        <v>1.0108668182966893E-3</v>
      </c>
      <c r="O70" s="47" t="str">
        <f t="shared" si="3"/>
        <v/>
      </c>
      <c r="P70" s="44">
        <v>77</v>
      </c>
      <c r="Q70" s="44">
        <v>0</v>
      </c>
      <c r="R70" s="44">
        <v>0</v>
      </c>
      <c r="S70" s="44" t="s">
        <v>1067</v>
      </c>
      <c r="T70" s="44" t="s">
        <v>1068</v>
      </c>
      <c r="U70" s="44"/>
      <c r="V70" s="44"/>
      <c r="W70" s="44" t="s">
        <v>1318</v>
      </c>
      <c r="X70" s="48" t="s">
        <v>1319</v>
      </c>
      <c r="Y70" s="44" t="s">
        <v>1320</v>
      </c>
    </row>
    <row r="71" spans="1:25" x14ac:dyDescent="0.25">
      <c r="A71" s="44" t="s">
        <v>1065</v>
      </c>
      <c r="B71" s="44" t="s">
        <v>224</v>
      </c>
      <c r="C71" s="44" t="s">
        <v>1321</v>
      </c>
      <c r="D71" s="44" t="s">
        <v>144</v>
      </c>
      <c r="E71" s="44" t="s">
        <v>130</v>
      </c>
      <c r="F71" s="44">
        <v>17</v>
      </c>
      <c r="G71" s="44" t="s">
        <v>108</v>
      </c>
      <c r="H71" s="44" t="s">
        <v>121</v>
      </c>
      <c r="I71" s="44" t="s">
        <v>656</v>
      </c>
      <c r="J71" s="44">
        <v>14</v>
      </c>
      <c r="K71" s="44">
        <v>1</v>
      </c>
      <c r="L71" s="45">
        <v>1218</v>
      </c>
      <c r="M71" s="44">
        <v>3957</v>
      </c>
      <c r="N71" s="46">
        <f t="shared" si="2"/>
        <v>3.7907505686125853E-3</v>
      </c>
      <c r="O71" s="47">
        <f t="shared" si="3"/>
        <v>0.30780894617134191</v>
      </c>
      <c r="P71" s="44">
        <v>126</v>
      </c>
      <c r="Q71" s="44">
        <v>3</v>
      </c>
      <c r="R71" s="44">
        <v>10</v>
      </c>
      <c r="S71" s="44" t="s">
        <v>1067</v>
      </c>
      <c r="T71" s="44" t="s">
        <v>1067</v>
      </c>
      <c r="U71" s="44" t="s">
        <v>1069</v>
      </c>
      <c r="V71" s="44"/>
      <c r="W71" s="44" t="s">
        <v>1322</v>
      </c>
      <c r="X71" s="48" t="s">
        <v>1323</v>
      </c>
      <c r="Y71" s="44" t="s">
        <v>1324</v>
      </c>
    </row>
    <row r="72" spans="1:25" x14ac:dyDescent="0.25">
      <c r="A72" s="44" t="s">
        <v>1065</v>
      </c>
      <c r="B72" s="44" t="s">
        <v>224</v>
      </c>
      <c r="C72" s="44" t="s">
        <v>1325</v>
      </c>
      <c r="D72" s="44" t="s">
        <v>144</v>
      </c>
      <c r="E72" s="44" t="s">
        <v>134</v>
      </c>
      <c r="F72" s="44">
        <v>17</v>
      </c>
      <c r="G72" s="44" t="s">
        <v>108</v>
      </c>
      <c r="H72" s="44" t="s">
        <v>121</v>
      </c>
      <c r="I72" s="44" t="s">
        <v>656</v>
      </c>
      <c r="J72" s="44">
        <v>12</v>
      </c>
      <c r="K72" s="44">
        <v>0</v>
      </c>
      <c r="L72" s="45">
        <v>1225</v>
      </c>
      <c r="M72" s="44">
        <v>3957</v>
      </c>
      <c r="N72" s="46">
        <f t="shared" si="2"/>
        <v>3.0326004548900682E-3</v>
      </c>
      <c r="O72" s="47">
        <f t="shared" si="3"/>
        <v>0.30957796310336111</v>
      </c>
      <c r="P72" s="44">
        <v>143</v>
      </c>
      <c r="Q72" s="44">
        <v>3</v>
      </c>
      <c r="R72" s="44">
        <v>4</v>
      </c>
      <c r="S72" s="44" t="s">
        <v>1067</v>
      </c>
      <c r="T72" s="44" t="s">
        <v>1067</v>
      </c>
      <c r="U72" s="44" t="s">
        <v>1069</v>
      </c>
      <c r="V72" s="44"/>
      <c r="W72" s="44" t="s">
        <v>1326</v>
      </c>
      <c r="X72" s="48" t="s">
        <v>1327</v>
      </c>
      <c r="Y72" s="44" t="s">
        <v>1328</v>
      </c>
    </row>
    <row r="73" spans="1:25" x14ac:dyDescent="0.25">
      <c r="A73" s="44" t="s">
        <v>1065</v>
      </c>
      <c r="B73" s="44" t="s">
        <v>224</v>
      </c>
      <c r="C73" s="44" t="s">
        <v>1329</v>
      </c>
      <c r="D73" s="44" t="s">
        <v>144</v>
      </c>
      <c r="E73" s="44" t="s">
        <v>130</v>
      </c>
      <c r="F73" s="44">
        <v>17</v>
      </c>
      <c r="G73" s="44" t="s">
        <v>111</v>
      </c>
      <c r="H73" s="44" t="s">
        <v>117</v>
      </c>
      <c r="I73" s="44" t="s">
        <v>656</v>
      </c>
      <c r="J73" s="44">
        <v>20</v>
      </c>
      <c r="K73" s="44">
        <v>2</v>
      </c>
      <c r="L73" s="45"/>
      <c r="M73" s="44">
        <v>3957</v>
      </c>
      <c r="N73" s="46">
        <f t="shared" si="2"/>
        <v>5.5597675006317914E-3</v>
      </c>
      <c r="O73" s="47" t="str">
        <f t="shared" si="3"/>
        <v/>
      </c>
      <c r="P73" s="44">
        <v>118</v>
      </c>
      <c r="Q73" s="44">
        <v>0</v>
      </c>
      <c r="R73" s="44">
        <v>16</v>
      </c>
      <c r="S73" s="44" t="s">
        <v>1067</v>
      </c>
      <c r="T73" s="44" t="s">
        <v>1068</v>
      </c>
      <c r="U73" s="44" t="s">
        <v>1069</v>
      </c>
      <c r="V73" s="44" t="s">
        <v>1330</v>
      </c>
      <c r="W73" s="44" t="s">
        <v>1331</v>
      </c>
      <c r="X73" s="48" t="s">
        <v>1332</v>
      </c>
      <c r="Y73" s="44" t="s">
        <v>1333</v>
      </c>
    </row>
    <row r="74" spans="1:25" x14ac:dyDescent="0.25">
      <c r="A74" s="44" t="s">
        <v>1065</v>
      </c>
      <c r="B74" s="44" t="s">
        <v>224</v>
      </c>
      <c r="C74" s="44" t="s">
        <v>1334</v>
      </c>
      <c r="D74" s="44" t="s">
        <v>144</v>
      </c>
      <c r="E74" s="44" t="s">
        <v>128</v>
      </c>
      <c r="F74" s="44">
        <v>18</v>
      </c>
      <c r="G74" s="44" t="s">
        <v>108</v>
      </c>
      <c r="H74" s="44" t="s">
        <v>120</v>
      </c>
      <c r="I74" s="44" t="s">
        <v>656</v>
      </c>
      <c r="J74" s="44">
        <v>19</v>
      </c>
      <c r="K74" s="44">
        <v>0</v>
      </c>
      <c r="L74" s="45">
        <v>1653</v>
      </c>
      <c r="M74" s="44">
        <v>3957</v>
      </c>
      <c r="N74" s="46">
        <f t="shared" si="2"/>
        <v>4.8016173869092748E-3</v>
      </c>
      <c r="O74" s="47">
        <f t="shared" si="3"/>
        <v>0.41774071266110691</v>
      </c>
      <c r="P74" s="44">
        <v>106</v>
      </c>
      <c r="Q74" s="44">
        <v>3</v>
      </c>
      <c r="R74" s="44">
        <v>4</v>
      </c>
      <c r="S74" s="44" t="s">
        <v>1067</v>
      </c>
      <c r="T74" s="44" t="s">
        <v>1068</v>
      </c>
      <c r="U74" s="44" t="s">
        <v>1069</v>
      </c>
      <c r="V74" s="44"/>
      <c r="W74" s="44" t="s">
        <v>1335</v>
      </c>
      <c r="X74" s="48" t="s">
        <v>1336</v>
      </c>
      <c r="Y74" s="44" t="s">
        <v>1337</v>
      </c>
    </row>
    <row r="75" spans="1:25" x14ac:dyDescent="0.25">
      <c r="A75" s="44" t="s">
        <v>1065</v>
      </c>
      <c r="B75" s="44" t="s">
        <v>224</v>
      </c>
      <c r="C75" s="44" t="s">
        <v>1338</v>
      </c>
      <c r="D75" s="44" t="s">
        <v>143</v>
      </c>
      <c r="E75" s="44" t="s">
        <v>126</v>
      </c>
      <c r="F75" s="44">
        <v>16</v>
      </c>
      <c r="G75" s="44" t="s">
        <v>111</v>
      </c>
      <c r="H75" s="44" t="s">
        <v>120</v>
      </c>
      <c r="I75" s="44" t="s">
        <v>638</v>
      </c>
      <c r="J75" s="44">
        <v>6</v>
      </c>
      <c r="K75" s="44">
        <v>0</v>
      </c>
      <c r="L75" s="45"/>
      <c r="M75" s="44">
        <v>3957</v>
      </c>
      <c r="N75" s="46">
        <f t="shared" si="2"/>
        <v>1.5163002274450341E-3</v>
      </c>
      <c r="O75" s="47" t="str">
        <f t="shared" si="3"/>
        <v/>
      </c>
      <c r="P75" s="44">
        <v>113</v>
      </c>
      <c r="Q75" s="44">
        <v>3</v>
      </c>
      <c r="R75" s="44">
        <v>4</v>
      </c>
      <c r="S75" s="44" t="s">
        <v>1067</v>
      </c>
      <c r="T75" s="44" t="s">
        <v>1068</v>
      </c>
      <c r="U75" s="44"/>
      <c r="V75" s="44"/>
      <c r="W75" s="44" t="s">
        <v>1339</v>
      </c>
      <c r="X75" s="48" t="s">
        <v>1340</v>
      </c>
      <c r="Y75" s="44" t="s">
        <v>1341</v>
      </c>
    </row>
    <row r="76" spans="1:25" x14ac:dyDescent="0.25">
      <c r="A76" s="44" t="s">
        <v>1065</v>
      </c>
      <c r="B76" s="44" t="s">
        <v>224</v>
      </c>
      <c r="C76" s="44" t="s">
        <v>1342</v>
      </c>
      <c r="D76" s="44" t="s">
        <v>143</v>
      </c>
      <c r="E76" s="44" t="s">
        <v>130</v>
      </c>
      <c r="F76" s="44">
        <v>17</v>
      </c>
      <c r="G76" s="44" t="s">
        <v>108</v>
      </c>
      <c r="H76" s="44" t="s">
        <v>121</v>
      </c>
      <c r="I76" s="44" t="s">
        <v>656</v>
      </c>
      <c r="J76" s="44">
        <v>15</v>
      </c>
      <c r="K76" s="44">
        <v>3</v>
      </c>
      <c r="L76" s="45">
        <v>1350</v>
      </c>
      <c r="M76" s="44">
        <v>3957</v>
      </c>
      <c r="N76" s="46">
        <f t="shared" si="2"/>
        <v>4.5489006823351023E-3</v>
      </c>
      <c r="O76" s="47">
        <f t="shared" si="3"/>
        <v>0.3411675511751327</v>
      </c>
      <c r="P76" s="44">
        <v>125</v>
      </c>
      <c r="Q76" s="44">
        <v>3</v>
      </c>
      <c r="R76" s="44">
        <v>4</v>
      </c>
      <c r="S76" s="44" t="s">
        <v>1067</v>
      </c>
      <c r="T76" s="44" t="s">
        <v>1068</v>
      </c>
      <c r="U76" s="44" t="s">
        <v>1069</v>
      </c>
      <c r="V76" s="44"/>
      <c r="W76" s="44" t="s">
        <v>1343</v>
      </c>
      <c r="X76" s="48" t="s">
        <v>1344</v>
      </c>
      <c r="Y76" s="44" t="s">
        <v>1345</v>
      </c>
    </row>
    <row r="77" spans="1:25" x14ac:dyDescent="0.25">
      <c r="A77" s="44" t="s">
        <v>1065</v>
      </c>
      <c r="B77" s="44" t="s">
        <v>224</v>
      </c>
      <c r="C77" s="44" t="s">
        <v>1346</v>
      </c>
      <c r="D77" s="44" t="s">
        <v>143</v>
      </c>
      <c r="E77" s="44" t="s">
        <v>126</v>
      </c>
      <c r="F77" s="44">
        <v>17</v>
      </c>
      <c r="G77" s="44" t="s">
        <v>108</v>
      </c>
      <c r="H77" s="44" t="s">
        <v>122</v>
      </c>
      <c r="I77" s="44" t="s">
        <v>650</v>
      </c>
      <c r="J77" s="44">
        <v>9</v>
      </c>
      <c r="K77" s="44">
        <v>0</v>
      </c>
      <c r="L77" s="45">
        <v>1172</v>
      </c>
      <c r="M77" s="44">
        <v>3957</v>
      </c>
      <c r="N77" s="46">
        <f t="shared" si="2"/>
        <v>2.2744503411675512E-3</v>
      </c>
      <c r="O77" s="47">
        <f t="shared" si="3"/>
        <v>0.29618397776092997</v>
      </c>
      <c r="P77" s="44">
        <v>84</v>
      </c>
      <c r="Q77" s="44">
        <v>0</v>
      </c>
      <c r="R77" s="44">
        <v>0</v>
      </c>
      <c r="S77" s="44" t="s">
        <v>1068</v>
      </c>
      <c r="T77" s="44" t="s">
        <v>1067</v>
      </c>
      <c r="U77" s="44" t="s">
        <v>1069</v>
      </c>
      <c r="V77" s="44"/>
      <c r="W77" s="44" t="s">
        <v>1347</v>
      </c>
      <c r="X77" s="48" t="s">
        <v>1348</v>
      </c>
      <c r="Y77" s="44" t="s">
        <v>1349</v>
      </c>
    </row>
    <row r="78" spans="1:25" x14ac:dyDescent="0.25">
      <c r="A78" s="44" t="s">
        <v>1065</v>
      </c>
      <c r="B78" s="44" t="s">
        <v>224</v>
      </c>
      <c r="C78" s="44" t="s">
        <v>1350</v>
      </c>
      <c r="D78" s="44" t="s">
        <v>143</v>
      </c>
      <c r="E78" s="44" t="s">
        <v>134</v>
      </c>
      <c r="F78" s="44">
        <v>17</v>
      </c>
      <c r="G78" s="44" t="s">
        <v>109</v>
      </c>
      <c r="H78" s="44" t="s">
        <v>121</v>
      </c>
      <c r="I78" s="44" t="s">
        <v>656</v>
      </c>
      <c r="J78" s="44">
        <v>3</v>
      </c>
      <c r="K78" s="44">
        <v>1</v>
      </c>
      <c r="L78" s="45"/>
      <c r="M78" s="44">
        <v>3957</v>
      </c>
      <c r="N78" s="46">
        <f t="shared" si="2"/>
        <v>1.0108668182966893E-3</v>
      </c>
      <c r="O78" s="47" t="str">
        <f t="shared" si="3"/>
        <v/>
      </c>
      <c r="P78" s="44">
        <v>171</v>
      </c>
      <c r="Q78" s="44">
        <v>3</v>
      </c>
      <c r="R78" s="44">
        <v>6</v>
      </c>
      <c r="S78" s="44" t="s">
        <v>1067</v>
      </c>
      <c r="T78" s="44" t="s">
        <v>1067</v>
      </c>
      <c r="U78" s="44"/>
      <c r="V78" s="44"/>
      <c r="W78" s="44" t="s">
        <v>1351</v>
      </c>
      <c r="X78" s="48" t="s">
        <v>1352</v>
      </c>
      <c r="Y78" s="44" t="s">
        <v>1353</v>
      </c>
    </row>
    <row r="79" spans="1:25" x14ac:dyDescent="0.25">
      <c r="A79" s="44" t="s">
        <v>1065</v>
      </c>
      <c r="B79" s="44" t="s">
        <v>224</v>
      </c>
      <c r="C79" s="44" t="s">
        <v>1354</v>
      </c>
      <c r="D79" s="44" t="s">
        <v>143</v>
      </c>
      <c r="E79" s="44" t="s">
        <v>130</v>
      </c>
      <c r="F79" s="44">
        <v>18</v>
      </c>
      <c r="G79" s="44" t="s">
        <v>108</v>
      </c>
      <c r="H79" s="44" t="s">
        <v>121</v>
      </c>
      <c r="I79" s="44" t="s">
        <v>656</v>
      </c>
      <c r="J79" s="44">
        <v>8</v>
      </c>
      <c r="K79" s="44">
        <v>1</v>
      </c>
      <c r="L79" s="45">
        <v>1125</v>
      </c>
      <c r="M79" s="44">
        <v>3957</v>
      </c>
      <c r="N79" s="46">
        <f t="shared" si="2"/>
        <v>2.2744503411675512E-3</v>
      </c>
      <c r="O79" s="47">
        <f t="shared" si="3"/>
        <v>0.28430629264594387</v>
      </c>
      <c r="P79" s="44">
        <v>135</v>
      </c>
      <c r="Q79" s="44">
        <v>3</v>
      </c>
      <c r="R79" s="44">
        <v>10</v>
      </c>
      <c r="S79" s="44" t="s">
        <v>1067</v>
      </c>
      <c r="T79" s="44" t="s">
        <v>1068</v>
      </c>
      <c r="U79" s="44" t="s">
        <v>1069</v>
      </c>
      <c r="V79" s="44"/>
      <c r="W79" s="44" t="s">
        <v>1355</v>
      </c>
      <c r="X79" s="48" t="s">
        <v>1356</v>
      </c>
      <c r="Y79" s="44" t="s">
        <v>1357</v>
      </c>
    </row>
    <row r="80" spans="1:25" x14ac:dyDescent="0.25">
      <c r="A80" s="44" t="s">
        <v>1065</v>
      </c>
      <c r="B80" s="44" t="s">
        <v>224</v>
      </c>
      <c r="C80" s="44" t="s">
        <v>1358</v>
      </c>
      <c r="D80" s="44" t="s">
        <v>143</v>
      </c>
      <c r="E80" s="44" t="s">
        <v>126</v>
      </c>
      <c r="F80" s="44">
        <v>18</v>
      </c>
      <c r="G80" s="44" t="s">
        <v>108</v>
      </c>
      <c r="H80" s="44" t="s">
        <v>120</v>
      </c>
      <c r="I80" s="44" t="s">
        <v>656</v>
      </c>
      <c r="J80" s="44">
        <v>7</v>
      </c>
      <c r="K80" s="44">
        <v>2</v>
      </c>
      <c r="L80" s="45">
        <v>1123</v>
      </c>
      <c r="M80" s="44">
        <v>3957</v>
      </c>
      <c r="N80" s="46">
        <f t="shared" si="2"/>
        <v>2.2744503411675512E-3</v>
      </c>
      <c r="O80" s="47">
        <f t="shared" si="3"/>
        <v>0.28380085923679554</v>
      </c>
      <c r="P80" s="44">
        <v>118</v>
      </c>
      <c r="Q80" s="44">
        <v>3</v>
      </c>
      <c r="R80" s="44">
        <v>4</v>
      </c>
      <c r="S80" s="44" t="s">
        <v>1067</v>
      </c>
      <c r="T80" s="44" t="s">
        <v>1068</v>
      </c>
      <c r="U80" s="44" t="s">
        <v>1069</v>
      </c>
      <c r="V80" s="44"/>
      <c r="W80" s="44" t="s">
        <v>1359</v>
      </c>
      <c r="X80" s="48" t="s">
        <v>1360</v>
      </c>
      <c r="Y80" s="44" t="s">
        <v>1361</v>
      </c>
    </row>
    <row r="81" spans="1:25" x14ac:dyDescent="0.25">
      <c r="A81" s="44" t="s">
        <v>1065</v>
      </c>
      <c r="B81" s="44" t="s">
        <v>224</v>
      </c>
      <c r="C81" s="44" t="s">
        <v>1362</v>
      </c>
      <c r="D81" s="44" t="s">
        <v>143</v>
      </c>
      <c r="E81" s="44" t="s">
        <v>134</v>
      </c>
      <c r="F81" s="44">
        <v>17</v>
      </c>
      <c r="G81" s="44" t="s">
        <v>108</v>
      </c>
      <c r="H81" s="44" t="s">
        <v>121</v>
      </c>
      <c r="I81" s="44" t="s">
        <v>650</v>
      </c>
      <c r="J81" s="44">
        <v>33</v>
      </c>
      <c r="K81" s="44">
        <v>1</v>
      </c>
      <c r="L81" s="45">
        <v>10264</v>
      </c>
      <c r="M81" s="44">
        <v>3957</v>
      </c>
      <c r="N81" s="46">
        <f t="shared" si="2"/>
        <v>8.5923679555218596E-3</v>
      </c>
      <c r="O81" s="47">
        <f t="shared" si="3"/>
        <v>2.5938842557493049</v>
      </c>
      <c r="P81" s="44">
        <v>75</v>
      </c>
      <c r="Q81" s="44">
        <v>0</v>
      </c>
      <c r="R81" s="44">
        <v>4</v>
      </c>
      <c r="S81" s="44" t="s">
        <v>1067</v>
      </c>
      <c r="T81" s="44" t="s">
        <v>1067</v>
      </c>
      <c r="U81" s="44" t="s">
        <v>1069</v>
      </c>
      <c r="V81" s="44"/>
      <c r="W81" s="44" t="s">
        <v>1363</v>
      </c>
      <c r="X81" s="48" t="s">
        <v>1364</v>
      </c>
      <c r="Y81" s="44" t="s">
        <v>1365</v>
      </c>
    </row>
    <row r="82" spans="1:25" x14ac:dyDescent="0.25">
      <c r="A82" s="44" t="s">
        <v>1065</v>
      </c>
      <c r="B82" s="44" t="s">
        <v>224</v>
      </c>
      <c r="C82" s="44" t="s">
        <v>1366</v>
      </c>
      <c r="D82" s="44" t="s">
        <v>143</v>
      </c>
      <c r="E82" s="44" t="s">
        <v>130</v>
      </c>
      <c r="F82" s="44">
        <v>17</v>
      </c>
      <c r="G82" s="44" t="s">
        <v>111</v>
      </c>
      <c r="H82" s="44" t="s">
        <v>121</v>
      </c>
      <c r="I82" s="44" t="s">
        <v>656</v>
      </c>
      <c r="J82" s="44">
        <v>8</v>
      </c>
      <c r="K82" s="44">
        <v>1</v>
      </c>
      <c r="L82" s="45"/>
      <c r="M82" s="44">
        <v>3957</v>
      </c>
      <c r="N82" s="46">
        <f t="shared" si="2"/>
        <v>2.2744503411675512E-3</v>
      </c>
      <c r="O82" s="47" t="str">
        <f t="shared" si="3"/>
        <v/>
      </c>
      <c r="P82" s="44">
        <v>109</v>
      </c>
      <c r="Q82" s="44">
        <v>3</v>
      </c>
      <c r="R82" s="44">
        <v>9</v>
      </c>
      <c r="S82" s="44" t="s">
        <v>1067</v>
      </c>
      <c r="T82" s="44" t="s">
        <v>1068</v>
      </c>
      <c r="U82" s="44" t="s">
        <v>1069</v>
      </c>
      <c r="V82" s="44"/>
      <c r="W82" s="44" t="s">
        <v>1367</v>
      </c>
      <c r="X82" s="48" t="s">
        <v>1368</v>
      </c>
      <c r="Y82" s="44" t="s">
        <v>1369</v>
      </c>
    </row>
    <row r="83" spans="1:25" x14ac:dyDescent="0.25">
      <c r="A83" s="44" t="s">
        <v>1065</v>
      </c>
      <c r="B83" s="44" t="s">
        <v>224</v>
      </c>
      <c r="C83" s="44" t="s">
        <v>1370</v>
      </c>
      <c r="D83" s="44" t="s">
        <v>143</v>
      </c>
      <c r="E83" s="44" t="s">
        <v>126</v>
      </c>
      <c r="F83" s="44">
        <v>17</v>
      </c>
      <c r="G83" s="44" t="s">
        <v>108</v>
      </c>
      <c r="H83" s="44" t="s">
        <v>121</v>
      </c>
      <c r="I83" s="44" t="s">
        <v>656</v>
      </c>
      <c r="J83" s="44">
        <v>12</v>
      </c>
      <c r="K83" s="44">
        <v>3</v>
      </c>
      <c r="L83" s="45">
        <v>1470</v>
      </c>
      <c r="M83" s="44">
        <v>3957</v>
      </c>
      <c r="N83" s="46">
        <f t="shared" si="2"/>
        <v>3.7907505686125853E-3</v>
      </c>
      <c r="O83" s="47">
        <f t="shared" si="3"/>
        <v>0.37149355572403336</v>
      </c>
      <c r="P83" s="44">
        <v>120</v>
      </c>
      <c r="Q83" s="44">
        <v>3</v>
      </c>
      <c r="R83" s="44">
        <v>4</v>
      </c>
      <c r="S83" s="44" t="s">
        <v>1067</v>
      </c>
      <c r="T83" s="44" t="s">
        <v>1067</v>
      </c>
      <c r="U83" s="44" t="s">
        <v>1069</v>
      </c>
      <c r="V83" s="44"/>
      <c r="W83" s="44" t="s">
        <v>1371</v>
      </c>
      <c r="X83" s="48" t="s">
        <v>1372</v>
      </c>
      <c r="Y83" s="44" t="s">
        <v>1373</v>
      </c>
    </row>
    <row r="84" spans="1:25" x14ac:dyDescent="0.25">
      <c r="A84" s="44" t="s">
        <v>1065</v>
      </c>
      <c r="B84" s="44" t="s">
        <v>224</v>
      </c>
      <c r="C84" s="44" t="s">
        <v>1374</v>
      </c>
      <c r="D84" s="44" t="s">
        <v>143</v>
      </c>
      <c r="E84" s="44" t="s">
        <v>132</v>
      </c>
      <c r="F84" s="44">
        <v>13</v>
      </c>
      <c r="G84" s="44" t="s">
        <v>111</v>
      </c>
      <c r="H84" s="44" t="s">
        <v>116</v>
      </c>
      <c r="I84" s="44" t="s">
        <v>656</v>
      </c>
      <c r="J84" s="44">
        <v>6</v>
      </c>
      <c r="K84" s="44">
        <v>0</v>
      </c>
      <c r="L84" s="45"/>
      <c r="M84" s="44">
        <v>3957</v>
      </c>
      <c r="N84" s="46">
        <f t="shared" si="2"/>
        <v>1.5163002274450341E-3</v>
      </c>
      <c r="O84" s="47" t="str">
        <f t="shared" si="3"/>
        <v/>
      </c>
      <c r="P84" s="44">
        <v>132</v>
      </c>
      <c r="Q84" s="44">
        <v>4</v>
      </c>
      <c r="R84" s="44">
        <v>10</v>
      </c>
      <c r="S84" s="44" t="s">
        <v>1067</v>
      </c>
      <c r="T84" s="44" t="s">
        <v>1068</v>
      </c>
      <c r="U84" s="44"/>
      <c r="V84" s="44"/>
      <c r="W84" s="44" t="s">
        <v>1375</v>
      </c>
      <c r="X84" s="48" t="s">
        <v>1376</v>
      </c>
      <c r="Y84" s="44" t="s">
        <v>1377</v>
      </c>
    </row>
    <row r="85" spans="1:25" x14ac:dyDescent="0.25">
      <c r="A85" s="44" t="s">
        <v>1065</v>
      </c>
      <c r="B85" s="44" t="s">
        <v>224</v>
      </c>
      <c r="C85" s="44" t="s">
        <v>1378</v>
      </c>
      <c r="D85" s="44" t="s">
        <v>143</v>
      </c>
      <c r="E85" s="44" t="s">
        <v>130</v>
      </c>
      <c r="F85" s="44">
        <v>17</v>
      </c>
      <c r="G85" s="44" t="s">
        <v>108</v>
      </c>
      <c r="H85" s="44" t="s">
        <v>120</v>
      </c>
      <c r="I85" s="44" t="s">
        <v>656</v>
      </c>
      <c r="J85" s="44">
        <v>4</v>
      </c>
      <c r="K85" s="44">
        <v>0</v>
      </c>
      <c r="L85" s="45">
        <v>563</v>
      </c>
      <c r="M85" s="44">
        <v>3957</v>
      </c>
      <c r="N85" s="46">
        <f t="shared" si="2"/>
        <v>1.0108668182966893E-3</v>
      </c>
      <c r="O85" s="47">
        <f t="shared" si="3"/>
        <v>0.14227950467525904</v>
      </c>
      <c r="P85" s="44">
        <v>70</v>
      </c>
      <c r="Q85" s="44">
        <v>3</v>
      </c>
      <c r="R85" s="44">
        <v>3</v>
      </c>
      <c r="S85" s="44" t="s">
        <v>1067</v>
      </c>
      <c r="T85" s="44" t="s">
        <v>1068</v>
      </c>
      <c r="U85" s="44" t="s">
        <v>1379</v>
      </c>
      <c r="V85" s="44"/>
      <c r="W85" s="44" t="s">
        <v>1380</v>
      </c>
      <c r="X85" s="48" t="s">
        <v>1381</v>
      </c>
      <c r="Y85" s="44" t="s">
        <v>1382</v>
      </c>
    </row>
    <row r="86" spans="1:25" x14ac:dyDescent="0.25">
      <c r="A86" s="44" t="s">
        <v>1065</v>
      </c>
      <c r="B86" s="44" t="s">
        <v>224</v>
      </c>
      <c r="C86" s="44" t="s">
        <v>1383</v>
      </c>
      <c r="D86" s="44" t="s">
        <v>142</v>
      </c>
      <c r="E86" s="44" t="s">
        <v>126</v>
      </c>
      <c r="F86" s="44">
        <v>19</v>
      </c>
      <c r="G86" s="44" t="s">
        <v>111</v>
      </c>
      <c r="H86" s="44" t="s">
        <v>119</v>
      </c>
      <c r="I86" s="44" t="s">
        <v>638</v>
      </c>
      <c r="J86" s="44">
        <v>23</v>
      </c>
      <c r="K86" s="44">
        <v>0</v>
      </c>
      <c r="L86" s="45"/>
      <c r="M86" s="44">
        <v>3957</v>
      </c>
      <c r="N86" s="46">
        <f t="shared" si="2"/>
        <v>5.8124842052059639E-3</v>
      </c>
      <c r="O86" s="47" t="str">
        <f t="shared" si="3"/>
        <v/>
      </c>
      <c r="P86" s="44">
        <v>67</v>
      </c>
      <c r="Q86" s="44">
        <v>0</v>
      </c>
      <c r="R86" s="44">
        <v>6</v>
      </c>
      <c r="S86" s="44" t="s">
        <v>1068</v>
      </c>
      <c r="T86" s="44" t="s">
        <v>1067</v>
      </c>
      <c r="U86" s="44" t="s">
        <v>1172</v>
      </c>
      <c r="V86" s="44" t="s">
        <v>1384</v>
      </c>
      <c r="W86" s="44" t="s">
        <v>1385</v>
      </c>
      <c r="X86" s="48" t="s">
        <v>1386</v>
      </c>
      <c r="Y86" s="44" t="s">
        <v>1387</v>
      </c>
    </row>
    <row r="87" spans="1:25" x14ac:dyDescent="0.25">
      <c r="A87" s="44" t="s">
        <v>1065</v>
      </c>
      <c r="B87" s="44" t="s">
        <v>224</v>
      </c>
      <c r="C87" s="44" t="s">
        <v>1383</v>
      </c>
      <c r="D87" s="44" t="s">
        <v>142</v>
      </c>
      <c r="E87" s="44" t="s">
        <v>126</v>
      </c>
      <c r="F87" s="44">
        <v>17</v>
      </c>
      <c r="G87" s="44" t="s">
        <v>108</v>
      </c>
      <c r="H87" s="44" t="s">
        <v>121</v>
      </c>
      <c r="I87" s="44" t="s">
        <v>656</v>
      </c>
      <c r="J87" s="44">
        <v>9</v>
      </c>
      <c r="K87" s="44">
        <v>0</v>
      </c>
      <c r="L87" s="45">
        <v>1372</v>
      </c>
      <c r="M87" s="44">
        <v>3957</v>
      </c>
      <c r="N87" s="46">
        <f t="shared" si="2"/>
        <v>2.2744503411675512E-3</v>
      </c>
      <c r="O87" s="47">
        <f t="shared" si="3"/>
        <v>0.34672731867576445</v>
      </c>
      <c r="P87" s="44">
        <v>127</v>
      </c>
      <c r="Q87" s="44">
        <v>3</v>
      </c>
      <c r="R87" s="44">
        <v>7</v>
      </c>
      <c r="S87" s="44" t="s">
        <v>1067</v>
      </c>
      <c r="T87" s="44" t="s">
        <v>1067</v>
      </c>
      <c r="U87" s="44" t="s">
        <v>1172</v>
      </c>
      <c r="V87" s="44"/>
      <c r="W87" s="44" t="s">
        <v>1388</v>
      </c>
      <c r="X87" s="48" t="s">
        <v>1389</v>
      </c>
      <c r="Y87" s="44" t="s">
        <v>1390</v>
      </c>
    </row>
    <row r="88" spans="1:25" x14ac:dyDescent="0.25">
      <c r="A88" s="44" t="s">
        <v>1065</v>
      </c>
      <c r="B88" s="44" t="s">
        <v>224</v>
      </c>
      <c r="C88" s="44" t="s">
        <v>1391</v>
      </c>
      <c r="D88" s="44" t="s">
        <v>142</v>
      </c>
      <c r="E88" s="44" t="s">
        <v>132</v>
      </c>
      <c r="F88" s="44">
        <v>19</v>
      </c>
      <c r="G88" s="44" t="s">
        <v>108</v>
      </c>
      <c r="H88" s="44" t="s">
        <v>118</v>
      </c>
      <c r="I88" s="44" t="s">
        <v>656</v>
      </c>
      <c r="J88" s="44">
        <v>19</v>
      </c>
      <c r="K88" s="44">
        <v>0</v>
      </c>
      <c r="L88" s="45">
        <v>1352</v>
      </c>
      <c r="M88" s="44">
        <v>3957</v>
      </c>
      <c r="N88" s="46">
        <f t="shared" si="2"/>
        <v>4.8016173869092748E-3</v>
      </c>
      <c r="O88" s="47">
        <f t="shared" si="3"/>
        <v>0.34167298458428103</v>
      </c>
      <c r="P88" s="44">
        <v>68</v>
      </c>
      <c r="Q88" s="44">
        <v>3</v>
      </c>
      <c r="R88" s="44">
        <v>4</v>
      </c>
      <c r="S88" s="44" t="s">
        <v>1067</v>
      </c>
      <c r="T88" s="44" t="s">
        <v>1068</v>
      </c>
      <c r="U88" s="44" t="s">
        <v>1172</v>
      </c>
      <c r="V88" s="44"/>
      <c r="W88" s="44" t="s">
        <v>1392</v>
      </c>
      <c r="X88" s="48" t="s">
        <v>1393</v>
      </c>
      <c r="Y88" s="44" t="s">
        <v>1394</v>
      </c>
    </row>
    <row r="89" spans="1:25" x14ac:dyDescent="0.25">
      <c r="A89" s="44" t="s">
        <v>1065</v>
      </c>
      <c r="B89" s="44" t="s">
        <v>224</v>
      </c>
      <c r="C89" s="44" t="s">
        <v>1395</v>
      </c>
      <c r="D89" s="44" t="s">
        <v>142</v>
      </c>
      <c r="E89" s="44" t="s">
        <v>130</v>
      </c>
      <c r="F89" s="44">
        <v>18</v>
      </c>
      <c r="G89" s="44" t="s">
        <v>109</v>
      </c>
      <c r="H89" s="44" t="s">
        <v>121</v>
      </c>
      <c r="I89" s="44" t="s">
        <v>650</v>
      </c>
      <c r="J89" s="44">
        <v>5</v>
      </c>
      <c r="K89" s="44">
        <v>0</v>
      </c>
      <c r="L89" s="45"/>
      <c r="M89" s="44">
        <v>3957</v>
      </c>
      <c r="N89" s="46">
        <f t="shared" si="2"/>
        <v>1.2635835228708618E-3</v>
      </c>
      <c r="O89" s="47" t="str">
        <f t="shared" si="3"/>
        <v/>
      </c>
      <c r="P89" s="44">
        <v>105</v>
      </c>
      <c r="Q89" s="44">
        <v>3</v>
      </c>
      <c r="R89" s="44">
        <v>4</v>
      </c>
      <c r="S89" s="44" t="s">
        <v>1067</v>
      </c>
      <c r="T89" s="44" t="s">
        <v>1067</v>
      </c>
      <c r="U89" s="44"/>
      <c r="V89" s="44"/>
      <c r="W89" s="44" t="s">
        <v>1396</v>
      </c>
      <c r="X89" s="48" t="s">
        <v>1397</v>
      </c>
      <c r="Y89" s="44" t="s">
        <v>1398</v>
      </c>
    </row>
    <row r="90" spans="1:25" x14ac:dyDescent="0.25">
      <c r="A90" s="44" t="s">
        <v>1065</v>
      </c>
      <c r="B90" s="44" t="s">
        <v>224</v>
      </c>
      <c r="C90" s="44" t="s">
        <v>1399</v>
      </c>
      <c r="D90" s="44" t="s">
        <v>142</v>
      </c>
      <c r="E90" s="44" t="s">
        <v>126</v>
      </c>
      <c r="F90" s="44">
        <v>18</v>
      </c>
      <c r="G90" s="44" t="s">
        <v>108</v>
      </c>
      <c r="H90" s="44" t="s">
        <v>121</v>
      </c>
      <c r="I90" s="44" t="s">
        <v>650</v>
      </c>
      <c r="J90" s="44">
        <v>14</v>
      </c>
      <c r="K90" s="44">
        <v>0</v>
      </c>
      <c r="L90" s="45">
        <v>1094</v>
      </c>
      <c r="M90" s="44">
        <v>3957</v>
      </c>
      <c r="N90" s="46">
        <f t="shared" si="2"/>
        <v>3.5380338640384128E-3</v>
      </c>
      <c r="O90" s="47">
        <f t="shared" si="3"/>
        <v>0.27647207480414454</v>
      </c>
      <c r="P90" s="44">
        <v>101</v>
      </c>
      <c r="Q90" s="44">
        <v>4</v>
      </c>
      <c r="R90" s="44">
        <v>7</v>
      </c>
      <c r="S90" s="44" t="s">
        <v>1067</v>
      </c>
      <c r="T90" s="44" t="s">
        <v>1067</v>
      </c>
      <c r="U90" s="44" t="s">
        <v>1172</v>
      </c>
      <c r="V90" s="44"/>
      <c r="W90" s="44" t="s">
        <v>1400</v>
      </c>
      <c r="X90" s="48" t="s">
        <v>1401</v>
      </c>
      <c r="Y90" s="44" t="s">
        <v>1402</v>
      </c>
    </row>
    <row r="91" spans="1:25" x14ac:dyDescent="0.25">
      <c r="A91" s="44" t="s">
        <v>1065</v>
      </c>
      <c r="B91" s="44" t="s">
        <v>224</v>
      </c>
      <c r="C91" s="44" t="s">
        <v>1403</v>
      </c>
      <c r="D91" s="44" t="s">
        <v>142</v>
      </c>
      <c r="E91" s="44" t="s">
        <v>134</v>
      </c>
      <c r="F91" s="44">
        <v>9</v>
      </c>
      <c r="G91" s="44" t="s">
        <v>109</v>
      </c>
      <c r="H91" s="44" t="s">
        <v>121</v>
      </c>
      <c r="I91" s="44" t="s">
        <v>656</v>
      </c>
      <c r="J91" s="44">
        <v>4</v>
      </c>
      <c r="K91" s="44">
        <v>0</v>
      </c>
      <c r="L91" s="45"/>
      <c r="M91" s="44">
        <v>3957</v>
      </c>
      <c r="N91" s="46">
        <f t="shared" si="2"/>
        <v>1.0108668182966893E-3</v>
      </c>
      <c r="O91" s="47" t="str">
        <f t="shared" si="3"/>
        <v/>
      </c>
      <c r="P91" s="44">
        <v>98</v>
      </c>
      <c r="Q91" s="44">
        <v>4</v>
      </c>
      <c r="R91" s="44">
        <v>8</v>
      </c>
      <c r="S91" s="44" t="s">
        <v>1067</v>
      </c>
      <c r="T91" s="44" t="s">
        <v>1068</v>
      </c>
      <c r="U91" s="44"/>
      <c r="V91" s="44"/>
      <c r="W91" s="44" t="s">
        <v>1404</v>
      </c>
      <c r="X91" s="48" t="s">
        <v>1405</v>
      </c>
      <c r="Y91" s="44" t="s">
        <v>1406</v>
      </c>
    </row>
    <row r="92" spans="1:25" x14ac:dyDescent="0.25">
      <c r="A92" s="44" t="s">
        <v>1065</v>
      </c>
      <c r="B92" s="44" t="s">
        <v>224</v>
      </c>
      <c r="C92" s="44" t="s">
        <v>189</v>
      </c>
      <c r="D92" s="44" t="s">
        <v>142</v>
      </c>
      <c r="E92" s="44" t="s">
        <v>130</v>
      </c>
      <c r="F92" s="44">
        <v>14</v>
      </c>
      <c r="G92" s="44" t="s">
        <v>108</v>
      </c>
      <c r="H92" s="44" t="s">
        <v>122</v>
      </c>
      <c r="I92" s="44" t="s">
        <v>644</v>
      </c>
      <c r="J92" s="44">
        <v>36</v>
      </c>
      <c r="K92" s="44">
        <v>6</v>
      </c>
      <c r="L92" s="45">
        <v>1214</v>
      </c>
      <c r="M92" s="44">
        <v>3957</v>
      </c>
      <c r="N92" s="46">
        <f t="shared" si="2"/>
        <v>1.061410159211524E-2</v>
      </c>
      <c r="O92" s="47">
        <f t="shared" si="3"/>
        <v>0.30679807935304526</v>
      </c>
      <c r="P92" s="44">
        <v>0</v>
      </c>
      <c r="Q92" s="44">
        <v>0</v>
      </c>
      <c r="R92" s="44">
        <v>0</v>
      </c>
      <c r="S92" s="44" t="s">
        <v>1068</v>
      </c>
      <c r="T92" s="44" t="s">
        <v>1068</v>
      </c>
      <c r="U92" s="44"/>
      <c r="V92" s="44"/>
      <c r="W92" s="44"/>
      <c r="X92" s="48" t="s">
        <v>1407</v>
      </c>
      <c r="Y92" s="44"/>
    </row>
    <row r="93" spans="1:25" x14ac:dyDescent="0.25">
      <c r="A93" s="44" t="s">
        <v>1065</v>
      </c>
      <c r="B93" s="44" t="s">
        <v>224</v>
      </c>
      <c r="C93" s="44" t="s">
        <v>189</v>
      </c>
      <c r="D93" s="44" t="s">
        <v>142</v>
      </c>
      <c r="E93" s="44" t="s">
        <v>130</v>
      </c>
      <c r="F93" s="44">
        <v>9</v>
      </c>
      <c r="G93" s="44" t="s">
        <v>111</v>
      </c>
      <c r="H93" s="44" t="s">
        <v>120</v>
      </c>
      <c r="I93" s="44" t="s">
        <v>650</v>
      </c>
      <c r="J93" s="44">
        <v>0</v>
      </c>
      <c r="K93" s="44">
        <v>0</v>
      </c>
      <c r="L93" s="45"/>
      <c r="M93" s="44">
        <v>3957</v>
      </c>
      <c r="N93" s="46">
        <f t="shared" si="2"/>
        <v>0</v>
      </c>
      <c r="O93" s="47" t="str">
        <f t="shared" si="3"/>
        <v/>
      </c>
      <c r="P93" s="44">
        <v>90</v>
      </c>
      <c r="Q93" s="44">
        <v>3</v>
      </c>
      <c r="R93" s="44">
        <v>4</v>
      </c>
      <c r="S93" s="44" t="s">
        <v>1067</v>
      </c>
      <c r="T93" s="44" t="s">
        <v>1067</v>
      </c>
      <c r="U93" s="44"/>
      <c r="V93" s="44"/>
      <c r="W93" s="44" t="s">
        <v>188</v>
      </c>
      <c r="X93" s="48" t="s">
        <v>190</v>
      </c>
      <c r="Y93" s="44" t="s">
        <v>1408</v>
      </c>
    </row>
    <row r="94" spans="1:25" x14ac:dyDescent="0.25">
      <c r="A94" s="44" t="s">
        <v>1065</v>
      </c>
      <c r="B94" s="44" t="s">
        <v>224</v>
      </c>
      <c r="C94" s="44" t="s">
        <v>158</v>
      </c>
      <c r="D94" s="44" t="s">
        <v>142</v>
      </c>
      <c r="E94" s="44" t="s">
        <v>132</v>
      </c>
      <c r="F94" s="44">
        <v>19</v>
      </c>
      <c r="G94" s="44" t="s">
        <v>108</v>
      </c>
      <c r="H94" s="44" t="s">
        <v>121</v>
      </c>
      <c r="I94" s="44" t="s">
        <v>656</v>
      </c>
      <c r="J94" s="44">
        <v>274</v>
      </c>
      <c r="K94" s="44">
        <v>34</v>
      </c>
      <c r="L94" s="45">
        <v>41152</v>
      </c>
      <c r="M94" s="44">
        <v>3957</v>
      </c>
      <c r="N94" s="46">
        <f t="shared" si="2"/>
        <v>7.783674500884509E-2</v>
      </c>
      <c r="O94" s="47">
        <f t="shared" si="3"/>
        <v>10.399797826636341</v>
      </c>
      <c r="P94" s="44">
        <v>72</v>
      </c>
      <c r="Q94" s="44">
        <v>3</v>
      </c>
      <c r="R94" s="44">
        <v>9</v>
      </c>
      <c r="S94" s="44" t="s">
        <v>1067</v>
      </c>
      <c r="T94" s="44" t="s">
        <v>1067</v>
      </c>
      <c r="U94" s="44" t="s">
        <v>1172</v>
      </c>
      <c r="V94" s="44"/>
      <c r="W94" s="44" t="s">
        <v>157</v>
      </c>
      <c r="X94" s="48" t="s">
        <v>159</v>
      </c>
      <c r="Y94" s="44" t="s">
        <v>1409</v>
      </c>
    </row>
    <row r="95" spans="1:25" x14ac:dyDescent="0.25">
      <c r="A95" s="44" t="s">
        <v>1065</v>
      </c>
      <c r="B95" s="44" t="s">
        <v>224</v>
      </c>
      <c r="C95" s="44" t="s">
        <v>1410</v>
      </c>
      <c r="D95" s="44" t="s">
        <v>142</v>
      </c>
      <c r="E95" s="44" t="s">
        <v>128</v>
      </c>
      <c r="F95" s="44">
        <v>19</v>
      </c>
      <c r="G95" s="44" t="s">
        <v>111</v>
      </c>
      <c r="H95" s="44" t="s">
        <v>121</v>
      </c>
      <c r="I95" s="44" t="s">
        <v>656</v>
      </c>
      <c r="J95" s="44">
        <v>4</v>
      </c>
      <c r="K95" s="44">
        <v>0</v>
      </c>
      <c r="L95" s="45"/>
      <c r="M95" s="44">
        <v>3957</v>
      </c>
      <c r="N95" s="46">
        <f t="shared" si="2"/>
        <v>1.0108668182966893E-3</v>
      </c>
      <c r="O95" s="47" t="str">
        <f t="shared" si="3"/>
        <v/>
      </c>
      <c r="P95" s="44">
        <v>103</v>
      </c>
      <c r="Q95" s="44">
        <v>3</v>
      </c>
      <c r="R95" s="44">
        <v>9</v>
      </c>
      <c r="S95" s="44" t="s">
        <v>1067</v>
      </c>
      <c r="T95" s="44" t="s">
        <v>1068</v>
      </c>
      <c r="U95" s="44"/>
      <c r="V95" s="44"/>
      <c r="W95" s="44" t="s">
        <v>1411</v>
      </c>
      <c r="X95" s="48" t="s">
        <v>1412</v>
      </c>
      <c r="Y95" s="44" t="s">
        <v>1413</v>
      </c>
    </row>
    <row r="96" spans="1:25" x14ac:dyDescent="0.25">
      <c r="A96" s="44" t="s">
        <v>1065</v>
      </c>
      <c r="B96" s="44" t="s">
        <v>224</v>
      </c>
      <c r="C96" s="44" t="s">
        <v>1414</v>
      </c>
      <c r="D96" s="44" t="s">
        <v>142</v>
      </c>
      <c r="E96" s="44" t="s">
        <v>130</v>
      </c>
      <c r="F96" s="44">
        <v>16</v>
      </c>
      <c r="G96" s="44" t="s">
        <v>108</v>
      </c>
      <c r="H96" s="44" t="s">
        <v>121</v>
      </c>
      <c r="I96" s="44" t="s">
        <v>656</v>
      </c>
      <c r="J96" s="44">
        <v>7</v>
      </c>
      <c r="K96" s="44">
        <v>0</v>
      </c>
      <c r="L96" s="45">
        <v>966</v>
      </c>
      <c r="M96" s="44">
        <v>3957</v>
      </c>
      <c r="N96" s="46">
        <f t="shared" si="2"/>
        <v>1.7690169320192064E-3</v>
      </c>
      <c r="O96" s="47">
        <f t="shared" si="3"/>
        <v>0.24412433661865049</v>
      </c>
      <c r="P96" s="44">
        <v>100</v>
      </c>
      <c r="Q96" s="44">
        <v>3</v>
      </c>
      <c r="R96" s="44">
        <v>8</v>
      </c>
      <c r="S96" s="44" t="s">
        <v>1067</v>
      </c>
      <c r="T96" s="44" t="s">
        <v>1067</v>
      </c>
      <c r="U96" s="44"/>
      <c r="V96" s="44"/>
      <c r="W96" s="44" t="s">
        <v>1415</v>
      </c>
      <c r="X96" s="48" t="s">
        <v>1416</v>
      </c>
      <c r="Y96" s="44" t="s">
        <v>1417</v>
      </c>
    </row>
    <row r="97" spans="1:25" x14ac:dyDescent="0.25">
      <c r="A97" s="44" t="s">
        <v>1065</v>
      </c>
      <c r="B97" s="44" t="s">
        <v>224</v>
      </c>
      <c r="C97" s="44" t="s">
        <v>1418</v>
      </c>
      <c r="D97" s="44" t="s">
        <v>142</v>
      </c>
      <c r="E97" s="44" t="s">
        <v>137</v>
      </c>
      <c r="F97" s="44">
        <v>18</v>
      </c>
      <c r="G97" s="44" t="s">
        <v>108</v>
      </c>
      <c r="H97" s="44" t="s">
        <v>114</v>
      </c>
      <c r="I97" s="44" t="s">
        <v>656</v>
      </c>
      <c r="J97" s="44">
        <v>20</v>
      </c>
      <c r="K97" s="44">
        <v>4</v>
      </c>
      <c r="L97" s="45">
        <v>2097</v>
      </c>
      <c r="M97" s="44">
        <v>3957</v>
      </c>
      <c r="N97" s="46">
        <f t="shared" si="2"/>
        <v>6.0652009097801364E-3</v>
      </c>
      <c r="O97" s="47">
        <f t="shared" si="3"/>
        <v>0.52994692949203948</v>
      </c>
      <c r="P97" s="44">
        <v>9</v>
      </c>
      <c r="Q97" s="44">
        <v>5</v>
      </c>
      <c r="R97" s="44">
        <v>1</v>
      </c>
      <c r="S97" s="44" t="s">
        <v>1068</v>
      </c>
      <c r="T97" s="44" t="s">
        <v>1068</v>
      </c>
      <c r="U97" s="44" t="s">
        <v>1172</v>
      </c>
      <c r="V97" s="44"/>
      <c r="W97" s="44" t="s">
        <v>1419</v>
      </c>
      <c r="X97" s="48" t="s">
        <v>1420</v>
      </c>
      <c r="Y97" s="44" t="s">
        <v>1421</v>
      </c>
    </row>
    <row r="98" spans="1:25" x14ac:dyDescent="0.25">
      <c r="A98" s="44" t="s">
        <v>1065</v>
      </c>
      <c r="B98" s="44" t="s">
        <v>224</v>
      </c>
      <c r="C98" s="44" t="s">
        <v>1422</v>
      </c>
      <c r="D98" s="44" t="s">
        <v>141</v>
      </c>
      <c r="E98" s="44" t="s">
        <v>134</v>
      </c>
      <c r="F98" s="44">
        <v>18</v>
      </c>
      <c r="G98" s="44" t="s">
        <v>108</v>
      </c>
      <c r="H98" s="44" t="s">
        <v>114</v>
      </c>
      <c r="I98" s="44" t="s">
        <v>656</v>
      </c>
      <c r="J98" s="44">
        <v>23</v>
      </c>
      <c r="K98" s="44">
        <v>3</v>
      </c>
      <c r="L98" s="45">
        <v>2721</v>
      </c>
      <c r="M98" s="44">
        <v>3957</v>
      </c>
      <c r="N98" s="46">
        <f t="shared" si="2"/>
        <v>6.5706343189284814E-3</v>
      </c>
      <c r="O98" s="47">
        <f t="shared" si="3"/>
        <v>0.68764215314632293</v>
      </c>
      <c r="P98" s="44">
        <v>8</v>
      </c>
      <c r="Q98" s="44">
        <v>5</v>
      </c>
      <c r="R98" s="44">
        <v>1</v>
      </c>
      <c r="S98" s="44" t="s">
        <v>1068</v>
      </c>
      <c r="T98" s="44" t="s">
        <v>1068</v>
      </c>
      <c r="U98" s="44" t="s">
        <v>1172</v>
      </c>
      <c r="V98" s="44"/>
      <c r="W98" s="44" t="s">
        <v>1423</v>
      </c>
      <c r="X98" s="48" t="s">
        <v>1424</v>
      </c>
      <c r="Y98" s="44" t="s">
        <v>1425</v>
      </c>
    </row>
    <row r="99" spans="1:25" x14ac:dyDescent="0.25">
      <c r="A99" s="44" t="s">
        <v>1065</v>
      </c>
      <c r="B99" s="44" t="s">
        <v>224</v>
      </c>
      <c r="C99" s="44" t="s">
        <v>1426</v>
      </c>
      <c r="D99" s="44" t="s">
        <v>141</v>
      </c>
      <c r="E99" s="44" t="s">
        <v>132</v>
      </c>
      <c r="F99" s="44">
        <v>18</v>
      </c>
      <c r="G99" s="44" t="s">
        <v>108</v>
      </c>
      <c r="H99" s="44" t="s">
        <v>114</v>
      </c>
      <c r="I99" s="44" t="s">
        <v>656</v>
      </c>
      <c r="J99" s="44">
        <v>21</v>
      </c>
      <c r="K99" s="44">
        <v>0</v>
      </c>
      <c r="L99" s="45">
        <v>2393</v>
      </c>
      <c r="M99" s="44">
        <v>3957</v>
      </c>
      <c r="N99" s="46">
        <f t="shared" si="2"/>
        <v>5.3070507960576198E-3</v>
      </c>
      <c r="O99" s="47">
        <f t="shared" si="3"/>
        <v>0.60475107404599449</v>
      </c>
      <c r="P99" s="44">
        <v>7</v>
      </c>
      <c r="Q99" s="44">
        <v>5</v>
      </c>
      <c r="R99" s="44">
        <v>1</v>
      </c>
      <c r="S99" s="44" t="s">
        <v>1068</v>
      </c>
      <c r="T99" s="44" t="s">
        <v>1068</v>
      </c>
      <c r="U99" s="44" t="s">
        <v>1172</v>
      </c>
      <c r="V99" s="44"/>
      <c r="W99" s="44" t="s">
        <v>1427</v>
      </c>
      <c r="X99" s="48" t="s">
        <v>1428</v>
      </c>
      <c r="Y99" s="44" t="s">
        <v>1429</v>
      </c>
    </row>
    <row r="100" spans="1:25" x14ac:dyDescent="0.25">
      <c r="A100" s="44" t="s">
        <v>1065</v>
      </c>
      <c r="B100" s="44" t="s">
        <v>224</v>
      </c>
      <c r="C100" s="44" t="s">
        <v>170</v>
      </c>
      <c r="D100" s="44" t="s">
        <v>141</v>
      </c>
      <c r="E100" s="44" t="s">
        <v>130</v>
      </c>
      <c r="F100" s="44">
        <v>18</v>
      </c>
      <c r="G100" s="44" t="s">
        <v>108</v>
      </c>
      <c r="H100" s="44" t="s">
        <v>119</v>
      </c>
      <c r="I100" s="44" t="s">
        <v>656</v>
      </c>
      <c r="J100" s="44">
        <v>81</v>
      </c>
      <c r="K100" s="44">
        <v>2</v>
      </c>
      <c r="L100" s="45">
        <v>5856</v>
      </c>
      <c r="M100" s="44">
        <v>3957</v>
      </c>
      <c r="N100" s="46">
        <f t="shared" si="2"/>
        <v>2.0975486479656306E-2</v>
      </c>
      <c r="O100" s="47">
        <f t="shared" si="3"/>
        <v>1.4799090219863533</v>
      </c>
      <c r="P100" s="44">
        <v>14</v>
      </c>
      <c r="Q100" s="44">
        <v>5</v>
      </c>
      <c r="R100" s="44">
        <v>3</v>
      </c>
      <c r="S100" s="44" t="s">
        <v>1068</v>
      </c>
      <c r="T100" s="44" t="s">
        <v>1068</v>
      </c>
      <c r="U100" s="44" t="s">
        <v>1172</v>
      </c>
      <c r="V100" s="44"/>
      <c r="W100" s="44" t="s">
        <v>169</v>
      </c>
      <c r="X100" s="48" t="s">
        <v>171</v>
      </c>
      <c r="Y100" s="44" t="s">
        <v>1430</v>
      </c>
    </row>
    <row r="101" spans="1:25" x14ac:dyDescent="0.25">
      <c r="A101" s="44" t="s">
        <v>1065</v>
      </c>
      <c r="B101" s="44" t="s">
        <v>224</v>
      </c>
      <c r="C101" s="44" t="s">
        <v>1431</v>
      </c>
      <c r="D101" s="44" t="s">
        <v>141</v>
      </c>
      <c r="E101" s="44" t="s">
        <v>128</v>
      </c>
      <c r="F101" s="44">
        <v>18</v>
      </c>
      <c r="G101" s="44" t="s">
        <v>108</v>
      </c>
      <c r="H101" s="44" t="s">
        <v>122</v>
      </c>
      <c r="I101" s="44" t="s">
        <v>656</v>
      </c>
      <c r="J101" s="44">
        <v>13</v>
      </c>
      <c r="K101" s="44">
        <v>0</v>
      </c>
      <c r="L101" s="45">
        <v>2653</v>
      </c>
      <c r="M101" s="44">
        <v>3957</v>
      </c>
      <c r="N101" s="46">
        <f t="shared" si="2"/>
        <v>3.2853171594642407E-3</v>
      </c>
      <c r="O101" s="47">
        <f t="shared" si="3"/>
        <v>0.6704574172352793</v>
      </c>
      <c r="P101" s="44">
        <v>11</v>
      </c>
      <c r="Q101" s="44">
        <v>5</v>
      </c>
      <c r="R101" s="44">
        <v>0</v>
      </c>
      <c r="S101" s="44" t="s">
        <v>1068</v>
      </c>
      <c r="T101" s="44" t="s">
        <v>1068</v>
      </c>
      <c r="U101" s="44" t="s">
        <v>1172</v>
      </c>
      <c r="V101" s="44"/>
      <c r="W101" s="44" t="s">
        <v>1432</v>
      </c>
      <c r="X101" s="48" t="s">
        <v>1433</v>
      </c>
      <c r="Y101" s="44" t="s">
        <v>1434</v>
      </c>
    </row>
    <row r="102" spans="1:25" x14ac:dyDescent="0.25">
      <c r="A102" s="44" t="s">
        <v>1065</v>
      </c>
      <c r="B102" s="44" t="s">
        <v>224</v>
      </c>
      <c r="C102" s="44" t="s">
        <v>1431</v>
      </c>
      <c r="D102" s="44" t="s">
        <v>141</v>
      </c>
      <c r="E102" s="44" t="s">
        <v>128</v>
      </c>
      <c r="F102" s="44">
        <v>15</v>
      </c>
      <c r="G102" s="44" t="s">
        <v>111</v>
      </c>
      <c r="H102" s="44" t="s">
        <v>121</v>
      </c>
      <c r="I102" s="44" t="s">
        <v>656</v>
      </c>
      <c r="J102" s="44">
        <v>13</v>
      </c>
      <c r="K102" s="44">
        <v>0</v>
      </c>
      <c r="L102" s="45"/>
      <c r="M102" s="44">
        <v>3957</v>
      </c>
      <c r="N102" s="46">
        <f t="shared" si="2"/>
        <v>3.2853171594642407E-3</v>
      </c>
      <c r="O102" s="47" t="str">
        <f t="shared" si="3"/>
        <v/>
      </c>
      <c r="P102" s="44">
        <v>71</v>
      </c>
      <c r="Q102" s="44">
        <v>0</v>
      </c>
      <c r="R102" s="44">
        <v>3</v>
      </c>
      <c r="S102" s="44" t="s">
        <v>1068</v>
      </c>
      <c r="T102" s="44" t="s">
        <v>1068</v>
      </c>
      <c r="U102" s="44"/>
      <c r="V102" s="44"/>
      <c r="W102" s="44" t="s">
        <v>1435</v>
      </c>
      <c r="X102" s="48" t="s">
        <v>1436</v>
      </c>
      <c r="Y102" s="44" t="s">
        <v>1437</v>
      </c>
    </row>
    <row r="103" spans="1:25" x14ac:dyDescent="0.25">
      <c r="A103" s="44" t="s">
        <v>1065</v>
      </c>
      <c r="B103" s="44" t="s">
        <v>224</v>
      </c>
      <c r="C103" s="44" t="s">
        <v>1438</v>
      </c>
      <c r="D103" s="44" t="s">
        <v>141</v>
      </c>
      <c r="E103" s="44" t="s">
        <v>126</v>
      </c>
      <c r="F103" s="44">
        <v>18</v>
      </c>
      <c r="G103" s="44" t="s">
        <v>108</v>
      </c>
      <c r="H103" s="44" t="s">
        <v>114</v>
      </c>
      <c r="I103" s="44" t="s">
        <v>656</v>
      </c>
      <c r="J103" s="44">
        <v>53</v>
      </c>
      <c r="K103" s="44">
        <v>0</v>
      </c>
      <c r="L103" s="45">
        <v>12820</v>
      </c>
      <c r="M103" s="44">
        <v>3957</v>
      </c>
      <c r="N103" s="46">
        <f t="shared" si="2"/>
        <v>1.3393985342431134E-2</v>
      </c>
      <c r="O103" s="47">
        <f t="shared" si="3"/>
        <v>3.2398281526408894</v>
      </c>
      <c r="P103" s="44">
        <v>7</v>
      </c>
      <c r="Q103" s="44">
        <v>5</v>
      </c>
      <c r="R103" s="44">
        <v>1</v>
      </c>
      <c r="S103" s="44" t="s">
        <v>1068</v>
      </c>
      <c r="T103" s="44" t="s">
        <v>1068</v>
      </c>
      <c r="U103" s="44" t="s">
        <v>1172</v>
      </c>
      <c r="V103" s="44"/>
      <c r="W103" s="44" t="s">
        <v>1439</v>
      </c>
      <c r="X103" s="48" t="s">
        <v>1440</v>
      </c>
      <c r="Y103" s="44" t="s">
        <v>1441</v>
      </c>
    </row>
    <row r="104" spans="1:25" x14ac:dyDescent="0.25">
      <c r="A104" s="44" t="s">
        <v>1065</v>
      </c>
      <c r="B104" s="44" t="s">
        <v>224</v>
      </c>
      <c r="C104" s="44" t="s">
        <v>1442</v>
      </c>
      <c r="D104" s="44" t="s">
        <v>141</v>
      </c>
      <c r="E104" s="44" t="s">
        <v>137</v>
      </c>
      <c r="F104" s="44">
        <v>18</v>
      </c>
      <c r="G104" s="44" t="s">
        <v>108</v>
      </c>
      <c r="H104" s="44" t="s">
        <v>114</v>
      </c>
      <c r="I104" s="44" t="s">
        <v>656</v>
      </c>
      <c r="J104" s="44">
        <v>25</v>
      </c>
      <c r="K104" s="44">
        <v>1</v>
      </c>
      <c r="L104" s="45">
        <v>3850</v>
      </c>
      <c r="M104" s="44">
        <v>3957</v>
      </c>
      <c r="N104" s="46">
        <f t="shared" si="2"/>
        <v>6.5706343189284814E-3</v>
      </c>
      <c r="O104" s="47">
        <f t="shared" si="3"/>
        <v>0.97295931261056356</v>
      </c>
      <c r="P104" s="44">
        <v>13</v>
      </c>
      <c r="Q104" s="44">
        <v>5</v>
      </c>
      <c r="R104" s="44">
        <v>1</v>
      </c>
      <c r="S104" s="44" t="s">
        <v>1068</v>
      </c>
      <c r="T104" s="44" t="s">
        <v>1068</v>
      </c>
      <c r="U104" s="44" t="s">
        <v>1172</v>
      </c>
      <c r="V104" s="44"/>
      <c r="W104" s="44" t="s">
        <v>1443</v>
      </c>
      <c r="X104" s="48" t="s">
        <v>1444</v>
      </c>
      <c r="Y104" s="44" t="s">
        <v>1445</v>
      </c>
    </row>
    <row r="105" spans="1:25" x14ac:dyDescent="0.25">
      <c r="A105" s="44" t="s">
        <v>1065</v>
      </c>
      <c r="B105" s="44" t="s">
        <v>224</v>
      </c>
      <c r="C105" s="44" t="s">
        <v>1446</v>
      </c>
      <c r="D105" s="44" t="s">
        <v>141</v>
      </c>
      <c r="E105" s="44" t="s">
        <v>136</v>
      </c>
      <c r="F105" s="44">
        <v>18</v>
      </c>
      <c r="G105" s="44" t="s">
        <v>108</v>
      </c>
      <c r="H105" s="44" t="s">
        <v>117</v>
      </c>
      <c r="I105" s="44" t="s">
        <v>656</v>
      </c>
      <c r="J105" s="44">
        <v>20</v>
      </c>
      <c r="K105" s="44">
        <v>2</v>
      </c>
      <c r="L105" s="45">
        <v>1699</v>
      </c>
      <c r="M105" s="44">
        <v>3957</v>
      </c>
      <c r="N105" s="46">
        <f t="shared" si="2"/>
        <v>5.5597675006317914E-3</v>
      </c>
      <c r="O105" s="47">
        <f t="shared" si="3"/>
        <v>0.42936568107151885</v>
      </c>
      <c r="P105" s="44">
        <v>47</v>
      </c>
      <c r="Q105" s="44">
        <v>5</v>
      </c>
      <c r="R105" s="44">
        <v>1</v>
      </c>
      <c r="S105" s="44" t="s">
        <v>1067</v>
      </c>
      <c r="T105" s="44" t="s">
        <v>1068</v>
      </c>
      <c r="U105" s="44" t="s">
        <v>1172</v>
      </c>
      <c r="V105" s="44"/>
      <c r="W105" s="44" t="s">
        <v>1447</v>
      </c>
      <c r="X105" s="48" t="s">
        <v>1448</v>
      </c>
      <c r="Y105" s="44" t="s">
        <v>1449</v>
      </c>
    </row>
    <row r="106" spans="1:25" x14ac:dyDescent="0.25">
      <c r="A106" s="44" t="s">
        <v>1065</v>
      </c>
      <c r="B106" s="44" t="s">
        <v>224</v>
      </c>
      <c r="C106" s="44" t="s">
        <v>1450</v>
      </c>
      <c r="D106" s="44" t="s">
        <v>141</v>
      </c>
      <c r="E106" s="44" t="s">
        <v>134</v>
      </c>
      <c r="F106" s="44">
        <v>18</v>
      </c>
      <c r="G106" s="44" t="s">
        <v>108</v>
      </c>
      <c r="H106" s="44" t="s">
        <v>114</v>
      </c>
      <c r="I106" s="44" t="s">
        <v>656</v>
      </c>
      <c r="J106" s="44">
        <v>18</v>
      </c>
      <c r="K106" s="44">
        <v>3</v>
      </c>
      <c r="L106" s="45">
        <v>2187</v>
      </c>
      <c r="M106" s="44">
        <v>3957</v>
      </c>
      <c r="N106" s="46">
        <f t="shared" si="2"/>
        <v>5.3070507960576198E-3</v>
      </c>
      <c r="O106" s="47">
        <f t="shared" si="3"/>
        <v>0.55269143290371492</v>
      </c>
      <c r="P106" s="44">
        <v>15</v>
      </c>
      <c r="Q106" s="44">
        <v>5</v>
      </c>
      <c r="R106" s="44">
        <v>0</v>
      </c>
      <c r="S106" s="44" t="s">
        <v>1068</v>
      </c>
      <c r="T106" s="44" t="s">
        <v>1068</v>
      </c>
      <c r="U106" s="44" t="s">
        <v>1172</v>
      </c>
      <c r="V106" s="44"/>
      <c r="W106" s="44" t="s">
        <v>1451</v>
      </c>
      <c r="X106" s="48" t="s">
        <v>1452</v>
      </c>
      <c r="Y106" s="44" t="s">
        <v>1453</v>
      </c>
    </row>
    <row r="107" spans="1:25" x14ac:dyDescent="0.25">
      <c r="A107" s="44" t="s">
        <v>1065</v>
      </c>
      <c r="B107" s="44" t="s">
        <v>224</v>
      </c>
      <c r="C107" s="44" t="s">
        <v>173</v>
      </c>
      <c r="D107" s="44" t="s">
        <v>141</v>
      </c>
      <c r="E107" s="44" t="s">
        <v>132</v>
      </c>
      <c r="F107" s="44">
        <v>18</v>
      </c>
      <c r="G107" s="44" t="s">
        <v>108</v>
      </c>
      <c r="H107" s="44" t="s">
        <v>122</v>
      </c>
      <c r="I107" s="44" t="s">
        <v>656</v>
      </c>
      <c r="J107" s="44">
        <v>72</v>
      </c>
      <c r="K107" s="44">
        <v>3</v>
      </c>
      <c r="L107" s="45">
        <v>5288</v>
      </c>
      <c r="M107" s="44">
        <v>3957</v>
      </c>
      <c r="N107" s="46">
        <f t="shared" si="2"/>
        <v>1.8953752843062926E-2</v>
      </c>
      <c r="O107" s="47">
        <f t="shared" si="3"/>
        <v>1.3363659337882234</v>
      </c>
      <c r="P107" s="44">
        <v>14</v>
      </c>
      <c r="Q107" s="44">
        <v>5</v>
      </c>
      <c r="R107" s="44">
        <v>0</v>
      </c>
      <c r="S107" s="44" t="s">
        <v>1068</v>
      </c>
      <c r="T107" s="44" t="s">
        <v>1068</v>
      </c>
      <c r="U107" s="44" t="s">
        <v>1172</v>
      </c>
      <c r="V107" s="44"/>
      <c r="W107" s="44" t="s">
        <v>172</v>
      </c>
      <c r="X107" s="48" t="s">
        <v>174</v>
      </c>
      <c r="Y107" s="44" t="s">
        <v>1454</v>
      </c>
    </row>
    <row r="108" spans="1:25" x14ac:dyDescent="0.25">
      <c r="A108" s="44" t="s">
        <v>1065</v>
      </c>
      <c r="B108" s="44" t="s">
        <v>224</v>
      </c>
      <c r="C108" s="44" t="s">
        <v>1455</v>
      </c>
      <c r="D108" s="44" t="s">
        <v>141</v>
      </c>
      <c r="E108" s="44" t="s">
        <v>130</v>
      </c>
      <c r="F108" s="44">
        <v>19</v>
      </c>
      <c r="G108" s="44" t="s">
        <v>108</v>
      </c>
      <c r="H108" s="44" t="s">
        <v>114</v>
      </c>
      <c r="I108" s="44" t="s">
        <v>656</v>
      </c>
      <c r="J108" s="44">
        <v>38</v>
      </c>
      <c r="K108" s="44">
        <v>3</v>
      </c>
      <c r="L108" s="45">
        <v>2579</v>
      </c>
      <c r="M108" s="44">
        <v>3957</v>
      </c>
      <c r="N108" s="46">
        <f t="shared" si="2"/>
        <v>1.0361384887541066E-2</v>
      </c>
      <c r="O108" s="47">
        <f t="shared" si="3"/>
        <v>0.65175638109679046</v>
      </c>
      <c r="P108" s="44">
        <v>8</v>
      </c>
      <c r="Q108" s="44">
        <v>5</v>
      </c>
      <c r="R108" s="44">
        <v>1</v>
      </c>
      <c r="S108" s="44" t="s">
        <v>1068</v>
      </c>
      <c r="T108" s="44" t="s">
        <v>1068</v>
      </c>
      <c r="U108" s="44" t="s">
        <v>1172</v>
      </c>
      <c r="V108" s="44"/>
      <c r="W108" s="44" t="s">
        <v>1456</v>
      </c>
      <c r="X108" s="48" t="s">
        <v>1457</v>
      </c>
      <c r="Y108" s="44" t="s">
        <v>1458</v>
      </c>
    </row>
    <row r="109" spans="1:25" x14ac:dyDescent="0.25">
      <c r="A109" s="44" t="s">
        <v>1065</v>
      </c>
      <c r="B109" s="44" t="s">
        <v>224</v>
      </c>
      <c r="C109" s="44" t="s">
        <v>179</v>
      </c>
      <c r="D109" s="44" t="s">
        <v>141</v>
      </c>
      <c r="E109" s="44" t="s">
        <v>128</v>
      </c>
      <c r="F109" s="44">
        <v>17</v>
      </c>
      <c r="G109" s="44" t="s">
        <v>108</v>
      </c>
      <c r="H109" s="44" t="s">
        <v>114</v>
      </c>
      <c r="I109" s="44" t="s">
        <v>656</v>
      </c>
      <c r="J109" s="44">
        <v>63</v>
      </c>
      <c r="K109" s="44">
        <v>3</v>
      </c>
      <c r="L109" s="45">
        <v>4584</v>
      </c>
      <c r="M109" s="44">
        <v>3957</v>
      </c>
      <c r="N109" s="46">
        <f t="shared" si="2"/>
        <v>1.6679302501895376E-2</v>
      </c>
      <c r="O109" s="47">
        <f t="shared" si="3"/>
        <v>1.1584533737680061</v>
      </c>
      <c r="P109" s="44">
        <v>12</v>
      </c>
      <c r="Q109" s="44">
        <v>5</v>
      </c>
      <c r="R109" s="44">
        <v>1</v>
      </c>
      <c r="S109" s="44" t="s">
        <v>1068</v>
      </c>
      <c r="T109" s="44" t="s">
        <v>1068</v>
      </c>
      <c r="U109" s="44" t="s">
        <v>1069</v>
      </c>
      <c r="V109" s="44"/>
      <c r="W109" s="44" t="s">
        <v>178</v>
      </c>
      <c r="X109" s="48" t="s">
        <v>180</v>
      </c>
      <c r="Y109" s="44" t="s">
        <v>1459</v>
      </c>
    </row>
    <row r="110" spans="1:25" x14ac:dyDescent="0.25">
      <c r="A110" s="44" t="s">
        <v>1460</v>
      </c>
      <c r="B110" s="44" t="s">
        <v>225</v>
      </c>
      <c r="C110" s="44" t="s">
        <v>1066</v>
      </c>
      <c r="D110" s="44" t="s">
        <v>149</v>
      </c>
      <c r="E110" s="44" t="s">
        <v>126</v>
      </c>
      <c r="F110" s="44">
        <v>17</v>
      </c>
      <c r="G110" s="44" t="s">
        <v>109</v>
      </c>
      <c r="H110" s="44" t="s">
        <v>119</v>
      </c>
      <c r="I110" s="44" t="s">
        <v>656</v>
      </c>
      <c r="J110" s="44">
        <v>3</v>
      </c>
      <c r="K110" s="44">
        <v>0</v>
      </c>
      <c r="L110" s="45"/>
      <c r="M110" s="44">
        <v>1735</v>
      </c>
      <c r="N110" s="46">
        <f t="shared" si="2"/>
        <v>1.7291066282420749E-3</v>
      </c>
      <c r="O110" s="47" t="str">
        <f t="shared" si="3"/>
        <v/>
      </c>
      <c r="P110" s="44">
        <v>97</v>
      </c>
      <c r="Q110" s="44">
        <v>3</v>
      </c>
      <c r="R110" s="44">
        <v>3</v>
      </c>
      <c r="S110" s="44" t="s">
        <v>1067</v>
      </c>
      <c r="T110" s="44" t="s">
        <v>1068</v>
      </c>
      <c r="U110" s="44"/>
      <c r="V110" s="44"/>
      <c r="W110" s="44" t="s">
        <v>1461</v>
      </c>
      <c r="X110" s="48" t="s">
        <v>1462</v>
      </c>
      <c r="Y110" s="44" t="s">
        <v>1463</v>
      </c>
    </row>
    <row r="111" spans="1:25" x14ac:dyDescent="0.25">
      <c r="A111" s="44" t="s">
        <v>1460</v>
      </c>
      <c r="B111" s="44" t="s">
        <v>225</v>
      </c>
      <c r="C111" s="44" t="s">
        <v>1073</v>
      </c>
      <c r="D111" s="44" t="s">
        <v>149</v>
      </c>
      <c r="E111" s="44" t="s">
        <v>134</v>
      </c>
      <c r="F111" s="44">
        <v>17</v>
      </c>
      <c r="G111" s="44" t="s">
        <v>108</v>
      </c>
      <c r="H111" s="44" t="s">
        <v>120</v>
      </c>
      <c r="I111" s="44" t="s">
        <v>635</v>
      </c>
      <c r="J111" s="44">
        <v>3</v>
      </c>
      <c r="K111" s="44">
        <v>0</v>
      </c>
      <c r="L111" s="45">
        <v>99</v>
      </c>
      <c r="M111" s="44">
        <v>1735</v>
      </c>
      <c r="N111" s="46">
        <f t="shared" si="2"/>
        <v>1.7291066282420749E-3</v>
      </c>
      <c r="O111" s="47">
        <f t="shared" si="3"/>
        <v>5.7060518731988474E-2</v>
      </c>
      <c r="P111" s="44">
        <v>78</v>
      </c>
      <c r="Q111" s="44">
        <v>3</v>
      </c>
      <c r="R111" s="44">
        <v>2</v>
      </c>
      <c r="S111" s="44" t="s">
        <v>1067</v>
      </c>
      <c r="T111" s="44" t="s">
        <v>1067</v>
      </c>
      <c r="U111" s="44"/>
      <c r="V111" s="44"/>
      <c r="W111" s="44" t="s">
        <v>1464</v>
      </c>
      <c r="X111" s="48" t="s">
        <v>1465</v>
      </c>
      <c r="Y111" s="44" t="s">
        <v>1466</v>
      </c>
    </row>
    <row r="112" spans="1:25" x14ac:dyDescent="0.25">
      <c r="A112" s="44" t="s">
        <v>1460</v>
      </c>
      <c r="B112" s="44" t="s">
        <v>225</v>
      </c>
      <c r="C112" s="44" t="s">
        <v>182</v>
      </c>
      <c r="D112" s="44" t="s">
        <v>149</v>
      </c>
      <c r="E112" s="44" t="s">
        <v>130</v>
      </c>
      <c r="F112" s="44">
        <v>17</v>
      </c>
      <c r="G112" s="44" t="s">
        <v>111</v>
      </c>
      <c r="H112" s="44" t="s">
        <v>116</v>
      </c>
      <c r="I112" s="44" t="s">
        <v>656</v>
      </c>
      <c r="J112" s="44">
        <v>4</v>
      </c>
      <c r="K112" s="44">
        <v>0</v>
      </c>
      <c r="L112" s="45"/>
      <c r="M112" s="44">
        <v>1735</v>
      </c>
      <c r="N112" s="46">
        <f t="shared" si="2"/>
        <v>2.3054755043227667E-3</v>
      </c>
      <c r="O112" s="47" t="str">
        <f t="shared" si="3"/>
        <v/>
      </c>
      <c r="P112" s="44">
        <v>55</v>
      </c>
      <c r="Q112" s="44">
        <v>3</v>
      </c>
      <c r="R112" s="44">
        <v>0</v>
      </c>
      <c r="S112" s="44" t="s">
        <v>1067</v>
      </c>
      <c r="T112" s="44" t="s">
        <v>1068</v>
      </c>
      <c r="U112" s="44"/>
      <c r="V112" s="44"/>
      <c r="W112" s="44" t="s">
        <v>1467</v>
      </c>
      <c r="X112" s="48" t="s">
        <v>1468</v>
      </c>
      <c r="Y112" s="44" t="s">
        <v>1469</v>
      </c>
    </row>
    <row r="113" spans="1:25" x14ac:dyDescent="0.25">
      <c r="A113" s="44" t="s">
        <v>1460</v>
      </c>
      <c r="B113" s="44" t="s">
        <v>225</v>
      </c>
      <c r="C113" s="44" t="s">
        <v>1470</v>
      </c>
      <c r="D113" s="44" t="s">
        <v>149</v>
      </c>
      <c r="E113" s="44" t="s">
        <v>137</v>
      </c>
      <c r="F113" s="44">
        <v>17</v>
      </c>
      <c r="G113" s="44" t="s">
        <v>108</v>
      </c>
      <c r="H113" s="44" t="s">
        <v>121</v>
      </c>
      <c r="I113" s="44" t="s">
        <v>656</v>
      </c>
      <c r="J113" s="44">
        <v>7</v>
      </c>
      <c r="K113" s="44">
        <v>4</v>
      </c>
      <c r="L113" s="45">
        <v>385</v>
      </c>
      <c r="M113" s="44">
        <v>1735</v>
      </c>
      <c r="N113" s="46">
        <f t="shared" si="2"/>
        <v>6.3400576368876083E-3</v>
      </c>
      <c r="O113" s="47">
        <f t="shared" si="3"/>
        <v>0.22190201729106629</v>
      </c>
      <c r="P113" s="44">
        <v>98</v>
      </c>
      <c r="Q113" s="44">
        <v>3</v>
      </c>
      <c r="R113" s="44">
        <v>1</v>
      </c>
      <c r="S113" s="44" t="s">
        <v>1067</v>
      </c>
      <c r="T113" s="44" t="s">
        <v>1068</v>
      </c>
      <c r="U113" s="44"/>
      <c r="V113" s="44"/>
      <c r="W113" s="44" t="s">
        <v>1471</v>
      </c>
      <c r="X113" s="48" t="s">
        <v>1472</v>
      </c>
      <c r="Y113" s="44" t="s">
        <v>1473</v>
      </c>
    </row>
    <row r="114" spans="1:25" x14ac:dyDescent="0.25">
      <c r="A114" s="44" t="s">
        <v>1460</v>
      </c>
      <c r="B114" s="44" t="s">
        <v>225</v>
      </c>
      <c r="C114" s="44" t="s">
        <v>1474</v>
      </c>
      <c r="D114" s="44" t="s">
        <v>149</v>
      </c>
      <c r="E114" s="44" t="s">
        <v>132</v>
      </c>
      <c r="F114" s="44">
        <v>17</v>
      </c>
      <c r="G114" s="44" t="s">
        <v>109</v>
      </c>
      <c r="H114" s="44" t="s">
        <v>117</v>
      </c>
      <c r="I114" s="44" t="s">
        <v>656</v>
      </c>
      <c r="J114" s="44">
        <v>12</v>
      </c>
      <c r="K114" s="44">
        <v>1</v>
      </c>
      <c r="L114" s="45"/>
      <c r="M114" s="44">
        <v>1735</v>
      </c>
      <c r="N114" s="46">
        <f t="shared" si="2"/>
        <v>7.492795389048991E-3</v>
      </c>
      <c r="O114" s="47" t="str">
        <f t="shared" si="3"/>
        <v/>
      </c>
      <c r="P114" s="44">
        <v>111</v>
      </c>
      <c r="Q114" s="44">
        <v>3</v>
      </c>
      <c r="R114" s="44">
        <v>0</v>
      </c>
      <c r="S114" s="44" t="s">
        <v>1068</v>
      </c>
      <c r="T114" s="44" t="s">
        <v>1068</v>
      </c>
      <c r="U114" s="44"/>
      <c r="V114" s="44"/>
      <c r="W114" s="44" t="s">
        <v>1475</v>
      </c>
      <c r="X114" s="48" t="s">
        <v>1476</v>
      </c>
      <c r="Y114" s="44" t="s">
        <v>1477</v>
      </c>
    </row>
    <row r="115" spans="1:25" x14ac:dyDescent="0.25">
      <c r="A115" s="44" t="s">
        <v>1460</v>
      </c>
      <c r="B115" s="44" t="s">
        <v>225</v>
      </c>
      <c r="C115" s="44" t="s">
        <v>1478</v>
      </c>
      <c r="D115" s="44" t="s">
        <v>148</v>
      </c>
      <c r="E115" s="44" t="s">
        <v>130</v>
      </c>
      <c r="F115" s="44">
        <v>3</v>
      </c>
      <c r="G115" s="44" t="s">
        <v>111</v>
      </c>
      <c r="H115" s="44" t="s">
        <v>118</v>
      </c>
      <c r="I115" s="44" t="s">
        <v>656</v>
      </c>
      <c r="J115" s="44">
        <v>5</v>
      </c>
      <c r="K115" s="44">
        <v>0</v>
      </c>
      <c r="L115" s="45"/>
      <c r="M115" s="44">
        <v>1735</v>
      </c>
      <c r="N115" s="46">
        <f t="shared" si="2"/>
        <v>2.881844380403458E-3</v>
      </c>
      <c r="O115" s="47" t="str">
        <f t="shared" si="3"/>
        <v/>
      </c>
      <c r="P115" s="44">
        <v>67</v>
      </c>
      <c r="Q115" s="44">
        <v>3</v>
      </c>
      <c r="R115" s="44">
        <v>2</v>
      </c>
      <c r="S115" s="44" t="s">
        <v>1067</v>
      </c>
      <c r="T115" s="44" t="s">
        <v>1068</v>
      </c>
      <c r="U115" s="44"/>
      <c r="V115" s="44"/>
      <c r="W115" s="44" t="s">
        <v>1479</v>
      </c>
      <c r="X115" s="48" t="s">
        <v>1480</v>
      </c>
      <c r="Y115" s="44" t="s">
        <v>1481</v>
      </c>
    </row>
    <row r="116" spans="1:25" x14ac:dyDescent="0.25">
      <c r="A116" s="44" t="s">
        <v>1460</v>
      </c>
      <c r="B116" s="44" t="s">
        <v>225</v>
      </c>
      <c r="C116" s="44" t="s">
        <v>1482</v>
      </c>
      <c r="D116" s="44" t="s">
        <v>148</v>
      </c>
      <c r="E116" s="44" t="s">
        <v>136</v>
      </c>
      <c r="F116" s="44">
        <v>3</v>
      </c>
      <c r="G116" s="44" t="s">
        <v>109</v>
      </c>
      <c r="H116" s="44" t="s">
        <v>121</v>
      </c>
      <c r="I116" s="44" t="s">
        <v>656</v>
      </c>
      <c r="J116" s="44">
        <v>7</v>
      </c>
      <c r="K116" s="44">
        <v>0</v>
      </c>
      <c r="L116" s="45"/>
      <c r="M116" s="44">
        <v>1735</v>
      </c>
      <c r="N116" s="46">
        <f t="shared" si="2"/>
        <v>4.0345821325648411E-3</v>
      </c>
      <c r="O116" s="47" t="str">
        <f t="shared" si="3"/>
        <v/>
      </c>
      <c r="P116" s="44">
        <v>86</v>
      </c>
      <c r="Q116" s="44">
        <v>3</v>
      </c>
      <c r="R116" s="44">
        <v>3</v>
      </c>
      <c r="S116" s="44" t="s">
        <v>1067</v>
      </c>
      <c r="T116" s="44" t="s">
        <v>1068</v>
      </c>
      <c r="U116" s="44"/>
      <c r="V116" s="44"/>
      <c r="W116" s="44" t="s">
        <v>1483</v>
      </c>
      <c r="X116" s="48" t="s">
        <v>1484</v>
      </c>
      <c r="Y116" s="44" t="s">
        <v>1485</v>
      </c>
    </row>
    <row r="117" spans="1:25" x14ac:dyDescent="0.25">
      <c r="A117" s="44" t="s">
        <v>1460</v>
      </c>
      <c r="B117" s="44" t="s">
        <v>225</v>
      </c>
      <c r="C117" s="44" t="s">
        <v>1486</v>
      </c>
      <c r="D117" s="44" t="s">
        <v>148</v>
      </c>
      <c r="E117" s="44" t="s">
        <v>132</v>
      </c>
      <c r="F117" s="44">
        <v>17</v>
      </c>
      <c r="G117" s="44" t="s">
        <v>108</v>
      </c>
      <c r="H117" s="44" t="s">
        <v>120</v>
      </c>
      <c r="I117" s="44" t="s">
        <v>650</v>
      </c>
      <c r="J117" s="44">
        <v>10</v>
      </c>
      <c r="K117" s="44">
        <v>1</v>
      </c>
      <c r="L117" s="45">
        <v>401</v>
      </c>
      <c r="M117" s="44">
        <v>1735</v>
      </c>
      <c r="N117" s="46">
        <f t="shared" si="2"/>
        <v>6.3400576368876083E-3</v>
      </c>
      <c r="O117" s="47">
        <f t="shared" si="3"/>
        <v>0.23112391930835735</v>
      </c>
      <c r="P117" s="44">
        <v>100</v>
      </c>
      <c r="Q117" s="44">
        <v>3</v>
      </c>
      <c r="R117" s="44">
        <v>2</v>
      </c>
      <c r="S117" s="44" t="s">
        <v>1067</v>
      </c>
      <c r="T117" s="44" t="s">
        <v>1067</v>
      </c>
      <c r="U117" s="44"/>
      <c r="V117" s="44"/>
      <c r="W117" s="44" t="s">
        <v>1487</v>
      </c>
      <c r="X117" s="48" t="s">
        <v>1488</v>
      </c>
      <c r="Y117" s="44" t="s">
        <v>1489</v>
      </c>
    </row>
    <row r="118" spans="1:25" x14ac:dyDescent="0.25">
      <c r="A118" s="44" t="s">
        <v>1460</v>
      </c>
      <c r="B118" s="44" t="s">
        <v>225</v>
      </c>
      <c r="C118" s="44" t="s">
        <v>1490</v>
      </c>
      <c r="D118" s="44" t="s">
        <v>148</v>
      </c>
      <c r="E118" s="44" t="s">
        <v>128</v>
      </c>
      <c r="F118" s="44">
        <v>17</v>
      </c>
      <c r="G118" s="44" t="s">
        <v>108</v>
      </c>
      <c r="H118" s="44" t="s">
        <v>120</v>
      </c>
      <c r="I118" s="44" t="s">
        <v>656</v>
      </c>
      <c r="J118" s="44">
        <v>17</v>
      </c>
      <c r="K118" s="44">
        <v>0</v>
      </c>
      <c r="L118" s="45">
        <v>378</v>
      </c>
      <c r="M118" s="44">
        <v>1735</v>
      </c>
      <c r="N118" s="46">
        <f t="shared" si="2"/>
        <v>9.7982708933717581E-3</v>
      </c>
      <c r="O118" s="47">
        <f t="shared" si="3"/>
        <v>0.21786743515850143</v>
      </c>
      <c r="P118" s="44">
        <v>67</v>
      </c>
      <c r="Q118" s="44">
        <v>0</v>
      </c>
      <c r="R118" s="44">
        <v>2</v>
      </c>
      <c r="S118" s="44" t="s">
        <v>1067</v>
      </c>
      <c r="T118" s="44" t="s">
        <v>1067</v>
      </c>
      <c r="U118" s="44"/>
      <c r="V118" s="44"/>
      <c r="W118" s="44" t="s">
        <v>299</v>
      </c>
      <c r="X118" s="48" t="s">
        <v>1491</v>
      </c>
      <c r="Y118" s="44" t="s">
        <v>1492</v>
      </c>
    </row>
    <row r="119" spans="1:25" x14ac:dyDescent="0.25">
      <c r="A119" s="44" t="s">
        <v>1460</v>
      </c>
      <c r="B119" s="44" t="s">
        <v>225</v>
      </c>
      <c r="C119" s="44" t="s">
        <v>1493</v>
      </c>
      <c r="D119" s="44" t="s">
        <v>148</v>
      </c>
      <c r="E119" s="44" t="s">
        <v>137</v>
      </c>
      <c r="F119" s="44">
        <v>17</v>
      </c>
      <c r="G119" s="44" t="s">
        <v>108</v>
      </c>
      <c r="H119" s="44" t="s">
        <v>121</v>
      </c>
      <c r="I119" s="44" t="s">
        <v>656</v>
      </c>
      <c r="J119" s="44">
        <v>8</v>
      </c>
      <c r="K119" s="44">
        <v>0</v>
      </c>
      <c r="L119" s="45">
        <v>174</v>
      </c>
      <c r="M119" s="44">
        <v>1735</v>
      </c>
      <c r="N119" s="46">
        <f t="shared" si="2"/>
        <v>4.6109510086455334E-3</v>
      </c>
      <c r="O119" s="47">
        <f t="shared" si="3"/>
        <v>0.10028818443804034</v>
      </c>
      <c r="P119" s="44">
        <v>74</v>
      </c>
      <c r="Q119" s="44">
        <v>3</v>
      </c>
      <c r="R119" s="44">
        <v>2</v>
      </c>
      <c r="S119" s="44" t="s">
        <v>1067</v>
      </c>
      <c r="T119" s="44" t="s">
        <v>1068</v>
      </c>
      <c r="U119" s="44"/>
      <c r="V119" s="44"/>
      <c r="W119" s="44" t="s">
        <v>1494</v>
      </c>
      <c r="X119" s="48" t="s">
        <v>1495</v>
      </c>
      <c r="Y119" s="44" t="s">
        <v>1496</v>
      </c>
    </row>
    <row r="120" spans="1:25" x14ac:dyDescent="0.25">
      <c r="A120" s="44" t="s">
        <v>1460</v>
      </c>
      <c r="B120" s="44" t="s">
        <v>225</v>
      </c>
      <c r="C120" s="44" t="s">
        <v>1497</v>
      </c>
      <c r="D120" s="44" t="s">
        <v>148</v>
      </c>
      <c r="E120" s="44" t="s">
        <v>132</v>
      </c>
      <c r="F120" s="44">
        <v>17</v>
      </c>
      <c r="G120" s="44" t="s">
        <v>111</v>
      </c>
      <c r="H120" s="44" t="s">
        <v>121</v>
      </c>
      <c r="I120" s="44" t="s">
        <v>650</v>
      </c>
      <c r="J120" s="44">
        <v>2</v>
      </c>
      <c r="K120" s="44">
        <v>0</v>
      </c>
      <c r="L120" s="45"/>
      <c r="M120" s="44">
        <v>1735</v>
      </c>
      <c r="N120" s="46">
        <f t="shared" si="2"/>
        <v>1.1527377521613833E-3</v>
      </c>
      <c r="O120" s="47" t="str">
        <f t="shared" si="3"/>
        <v/>
      </c>
      <c r="P120" s="44">
        <v>106</v>
      </c>
      <c r="Q120" s="44">
        <v>3</v>
      </c>
      <c r="R120" s="44">
        <v>2</v>
      </c>
      <c r="S120" s="44" t="s">
        <v>1067</v>
      </c>
      <c r="T120" s="44" t="s">
        <v>1067</v>
      </c>
      <c r="U120" s="44"/>
      <c r="V120" s="44"/>
      <c r="W120" s="44" t="s">
        <v>1498</v>
      </c>
      <c r="X120" s="48" t="s">
        <v>1499</v>
      </c>
      <c r="Y120" s="44" t="s">
        <v>1500</v>
      </c>
    </row>
    <row r="121" spans="1:25" x14ac:dyDescent="0.25">
      <c r="A121" s="44" t="s">
        <v>1460</v>
      </c>
      <c r="B121" s="44" t="s">
        <v>225</v>
      </c>
      <c r="C121" s="44" t="s">
        <v>195</v>
      </c>
      <c r="D121" s="44" t="s">
        <v>148</v>
      </c>
      <c r="E121" s="44" t="s">
        <v>126</v>
      </c>
      <c r="F121" s="44">
        <v>17</v>
      </c>
      <c r="G121" s="44" t="s">
        <v>109</v>
      </c>
      <c r="H121" s="44" t="s">
        <v>121</v>
      </c>
      <c r="I121" s="44" t="s">
        <v>650</v>
      </c>
      <c r="J121" s="44">
        <v>7</v>
      </c>
      <c r="K121" s="44">
        <v>0</v>
      </c>
      <c r="L121" s="45"/>
      <c r="M121" s="44">
        <v>1735</v>
      </c>
      <c r="N121" s="46">
        <f t="shared" si="2"/>
        <v>4.0345821325648411E-3</v>
      </c>
      <c r="O121" s="47" t="str">
        <f t="shared" si="3"/>
        <v/>
      </c>
      <c r="P121" s="44">
        <v>72</v>
      </c>
      <c r="Q121" s="44">
        <v>3</v>
      </c>
      <c r="R121" s="44">
        <v>2</v>
      </c>
      <c r="S121" s="44" t="s">
        <v>1067</v>
      </c>
      <c r="T121" s="44" t="s">
        <v>1067</v>
      </c>
      <c r="U121" s="44"/>
      <c r="V121" s="44"/>
      <c r="W121" s="44" t="s">
        <v>1501</v>
      </c>
      <c r="X121" s="48" t="s">
        <v>1502</v>
      </c>
      <c r="Y121" s="44" t="s">
        <v>1503</v>
      </c>
    </row>
    <row r="122" spans="1:25" x14ac:dyDescent="0.25">
      <c r="A122" s="44" t="s">
        <v>1460</v>
      </c>
      <c r="B122" s="44" t="s">
        <v>225</v>
      </c>
      <c r="C122" s="44" t="s">
        <v>1504</v>
      </c>
      <c r="D122" s="44" t="s">
        <v>148</v>
      </c>
      <c r="E122" s="44" t="s">
        <v>136</v>
      </c>
      <c r="F122" s="44">
        <v>17</v>
      </c>
      <c r="G122" s="44" t="s">
        <v>111</v>
      </c>
      <c r="H122" s="44" t="s">
        <v>121</v>
      </c>
      <c r="I122" s="44" t="s">
        <v>650</v>
      </c>
      <c r="J122" s="44">
        <v>2</v>
      </c>
      <c r="K122" s="44">
        <v>0</v>
      </c>
      <c r="L122" s="45"/>
      <c r="M122" s="44">
        <v>1735</v>
      </c>
      <c r="N122" s="46">
        <f t="shared" si="2"/>
        <v>1.1527377521613833E-3</v>
      </c>
      <c r="O122" s="47" t="str">
        <f t="shared" si="3"/>
        <v/>
      </c>
      <c r="P122" s="44">
        <v>86</v>
      </c>
      <c r="Q122" s="44">
        <v>3</v>
      </c>
      <c r="R122" s="44">
        <v>2</v>
      </c>
      <c r="S122" s="44" t="s">
        <v>1067</v>
      </c>
      <c r="T122" s="44" t="s">
        <v>1067</v>
      </c>
      <c r="U122" s="44"/>
      <c r="V122" s="44"/>
      <c r="W122" s="44" t="s">
        <v>1505</v>
      </c>
      <c r="X122" s="48" t="s">
        <v>1506</v>
      </c>
      <c r="Y122" s="44" t="s">
        <v>1507</v>
      </c>
    </row>
    <row r="123" spans="1:25" x14ac:dyDescent="0.25">
      <c r="A123" s="44" t="s">
        <v>1460</v>
      </c>
      <c r="B123" s="44" t="s">
        <v>225</v>
      </c>
      <c r="C123" s="44" t="s">
        <v>1508</v>
      </c>
      <c r="D123" s="44" t="s">
        <v>148</v>
      </c>
      <c r="E123" s="44" t="s">
        <v>130</v>
      </c>
      <c r="F123" s="44">
        <v>17</v>
      </c>
      <c r="G123" s="44" t="s">
        <v>111</v>
      </c>
      <c r="H123" s="44" t="s">
        <v>120</v>
      </c>
      <c r="I123" s="44" t="s">
        <v>635</v>
      </c>
      <c r="J123" s="44">
        <v>1</v>
      </c>
      <c r="K123" s="44">
        <v>0</v>
      </c>
      <c r="L123" s="45"/>
      <c r="M123" s="44">
        <v>1735</v>
      </c>
      <c r="N123" s="46">
        <f t="shared" si="2"/>
        <v>5.7636887608069167E-4</v>
      </c>
      <c r="O123" s="47" t="str">
        <f t="shared" si="3"/>
        <v/>
      </c>
      <c r="P123" s="44">
        <v>76</v>
      </c>
      <c r="Q123" s="44">
        <v>3</v>
      </c>
      <c r="R123" s="44">
        <v>2</v>
      </c>
      <c r="S123" s="44" t="s">
        <v>1067</v>
      </c>
      <c r="T123" s="44" t="s">
        <v>1067</v>
      </c>
      <c r="U123" s="44"/>
      <c r="V123" s="44"/>
      <c r="W123" s="44" t="s">
        <v>1509</v>
      </c>
      <c r="X123" s="48" t="s">
        <v>1510</v>
      </c>
      <c r="Y123" s="44" t="s">
        <v>1511</v>
      </c>
    </row>
    <row r="124" spans="1:25" x14ac:dyDescent="0.25">
      <c r="A124" s="44" t="s">
        <v>1460</v>
      </c>
      <c r="B124" s="44" t="s">
        <v>225</v>
      </c>
      <c r="C124" s="44" t="s">
        <v>1512</v>
      </c>
      <c r="D124" s="44" t="s">
        <v>148</v>
      </c>
      <c r="E124" s="44" t="s">
        <v>137</v>
      </c>
      <c r="F124" s="44">
        <v>17</v>
      </c>
      <c r="G124" s="44" t="s">
        <v>111</v>
      </c>
      <c r="H124" s="44" t="s">
        <v>121</v>
      </c>
      <c r="I124" s="44" t="s">
        <v>656</v>
      </c>
      <c r="J124" s="44">
        <v>4</v>
      </c>
      <c r="K124" s="44">
        <v>0</v>
      </c>
      <c r="L124" s="45"/>
      <c r="M124" s="44">
        <v>1735</v>
      </c>
      <c r="N124" s="46">
        <f t="shared" si="2"/>
        <v>2.3054755043227667E-3</v>
      </c>
      <c r="O124" s="47" t="str">
        <f t="shared" si="3"/>
        <v/>
      </c>
      <c r="P124" s="44">
        <v>76</v>
      </c>
      <c r="Q124" s="44">
        <v>3</v>
      </c>
      <c r="R124" s="44">
        <v>1</v>
      </c>
      <c r="S124" s="44" t="s">
        <v>1067</v>
      </c>
      <c r="T124" s="44" t="s">
        <v>1068</v>
      </c>
      <c r="U124" s="44"/>
      <c r="V124" s="44"/>
      <c r="W124" s="44" t="s">
        <v>1513</v>
      </c>
      <c r="X124" s="48" t="s">
        <v>1514</v>
      </c>
      <c r="Y124" s="44" t="s">
        <v>1515</v>
      </c>
    </row>
    <row r="125" spans="1:25" x14ac:dyDescent="0.25">
      <c r="A125" s="44" t="s">
        <v>1460</v>
      </c>
      <c r="B125" s="44" t="s">
        <v>225</v>
      </c>
      <c r="C125" s="44" t="s">
        <v>1516</v>
      </c>
      <c r="D125" s="44" t="s">
        <v>148</v>
      </c>
      <c r="E125" s="44" t="s">
        <v>136</v>
      </c>
      <c r="F125" s="44">
        <v>17</v>
      </c>
      <c r="G125" s="44" t="s">
        <v>111</v>
      </c>
      <c r="H125" s="44" t="s">
        <v>120</v>
      </c>
      <c r="I125" s="44" t="s">
        <v>656</v>
      </c>
      <c r="J125" s="44">
        <v>6</v>
      </c>
      <c r="K125" s="44">
        <v>1</v>
      </c>
      <c r="L125" s="45"/>
      <c r="M125" s="44">
        <v>1735</v>
      </c>
      <c r="N125" s="46">
        <f t="shared" si="2"/>
        <v>4.0345821325648411E-3</v>
      </c>
      <c r="O125" s="47" t="str">
        <f t="shared" si="3"/>
        <v/>
      </c>
      <c r="P125" s="44">
        <v>85</v>
      </c>
      <c r="Q125" s="44">
        <v>3</v>
      </c>
      <c r="R125" s="44">
        <v>2</v>
      </c>
      <c r="S125" s="44" t="s">
        <v>1067</v>
      </c>
      <c r="T125" s="44" t="s">
        <v>1068</v>
      </c>
      <c r="U125" s="44"/>
      <c r="V125" s="44"/>
      <c r="W125" s="44" t="s">
        <v>1517</v>
      </c>
      <c r="X125" s="48" t="s">
        <v>1518</v>
      </c>
      <c r="Y125" s="44" t="s">
        <v>1519</v>
      </c>
    </row>
    <row r="126" spans="1:25" x14ac:dyDescent="0.25">
      <c r="A126" s="44" t="s">
        <v>1460</v>
      </c>
      <c r="B126" s="44" t="s">
        <v>225</v>
      </c>
      <c r="C126" s="44" t="s">
        <v>1146</v>
      </c>
      <c r="D126" s="44" t="s">
        <v>148</v>
      </c>
      <c r="E126" s="44" t="s">
        <v>134</v>
      </c>
      <c r="F126" s="44">
        <v>17</v>
      </c>
      <c r="G126" s="44" t="s">
        <v>111</v>
      </c>
      <c r="H126" s="44" t="s">
        <v>117</v>
      </c>
      <c r="I126" s="44" t="s">
        <v>656</v>
      </c>
      <c r="J126" s="44">
        <v>4</v>
      </c>
      <c r="K126" s="44">
        <v>0</v>
      </c>
      <c r="L126" s="45"/>
      <c r="M126" s="44">
        <v>1735</v>
      </c>
      <c r="N126" s="46">
        <f t="shared" si="2"/>
        <v>2.3054755043227667E-3</v>
      </c>
      <c r="O126" s="47" t="str">
        <f t="shared" si="3"/>
        <v/>
      </c>
      <c r="P126" s="44">
        <v>61</v>
      </c>
      <c r="Q126" s="44">
        <v>5</v>
      </c>
      <c r="R126" s="44">
        <v>0</v>
      </c>
      <c r="S126" s="44" t="s">
        <v>1068</v>
      </c>
      <c r="T126" s="44" t="s">
        <v>1068</v>
      </c>
      <c r="U126" s="44"/>
      <c r="V126" s="44"/>
      <c r="W126" s="44" t="s">
        <v>1520</v>
      </c>
      <c r="X126" s="48" t="s">
        <v>1521</v>
      </c>
      <c r="Y126" s="44" t="s">
        <v>1522</v>
      </c>
    </row>
    <row r="127" spans="1:25" x14ac:dyDescent="0.25">
      <c r="A127" s="44" t="s">
        <v>1460</v>
      </c>
      <c r="B127" s="44" t="s">
        <v>225</v>
      </c>
      <c r="C127" s="44" t="s">
        <v>1523</v>
      </c>
      <c r="D127" s="44" t="s">
        <v>148</v>
      </c>
      <c r="E127" s="44" t="s">
        <v>128</v>
      </c>
      <c r="F127" s="44">
        <v>17</v>
      </c>
      <c r="G127" s="44" t="s">
        <v>111</v>
      </c>
      <c r="H127" s="44" t="s">
        <v>121</v>
      </c>
      <c r="I127" s="44" t="s">
        <v>656</v>
      </c>
      <c r="J127" s="44">
        <v>4</v>
      </c>
      <c r="K127" s="44">
        <v>1</v>
      </c>
      <c r="L127" s="45"/>
      <c r="M127" s="44">
        <v>1735</v>
      </c>
      <c r="N127" s="46">
        <f t="shared" si="2"/>
        <v>2.881844380403458E-3</v>
      </c>
      <c r="O127" s="47" t="str">
        <f t="shared" si="3"/>
        <v/>
      </c>
      <c r="P127" s="44">
        <v>88</v>
      </c>
      <c r="Q127" s="44">
        <v>3</v>
      </c>
      <c r="R127" s="44">
        <v>2</v>
      </c>
      <c r="S127" s="44" t="s">
        <v>1067</v>
      </c>
      <c r="T127" s="44" t="s">
        <v>1068</v>
      </c>
      <c r="U127" s="44"/>
      <c r="V127" s="44"/>
      <c r="W127" s="44" t="s">
        <v>1524</v>
      </c>
      <c r="X127" s="48" t="s">
        <v>1525</v>
      </c>
      <c r="Y127" s="44" t="s">
        <v>1526</v>
      </c>
    </row>
    <row r="128" spans="1:25" x14ac:dyDescent="0.25">
      <c r="A128" s="44" t="s">
        <v>1460</v>
      </c>
      <c r="B128" s="44" t="s">
        <v>225</v>
      </c>
      <c r="C128" s="44" t="s">
        <v>1527</v>
      </c>
      <c r="D128" s="44" t="s">
        <v>147</v>
      </c>
      <c r="E128" s="44" t="s">
        <v>132</v>
      </c>
      <c r="F128" s="44">
        <v>17</v>
      </c>
      <c r="G128" s="44" t="s">
        <v>109</v>
      </c>
      <c r="H128" s="44" t="s">
        <v>117</v>
      </c>
      <c r="I128" s="44" t="s">
        <v>650</v>
      </c>
      <c r="J128" s="44">
        <v>5</v>
      </c>
      <c r="K128" s="44">
        <v>0</v>
      </c>
      <c r="L128" s="45"/>
      <c r="M128" s="44">
        <v>1735</v>
      </c>
      <c r="N128" s="46">
        <f t="shared" si="2"/>
        <v>2.881844380403458E-3</v>
      </c>
      <c r="O128" s="47" t="str">
        <f t="shared" si="3"/>
        <v/>
      </c>
      <c r="P128" s="44">
        <v>89</v>
      </c>
      <c r="Q128" s="44">
        <v>3</v>
      </c>
      <c r="R128" s="44">
        <v>0</v>
      </c>
      <c r="S128" s="44" t="s">
        <v>1068</v>
      </c>
      <c r="T128" s="44" t="s">
        <v>1067</v>
      </c>
      <c r="U128" s="44"/>
      <c r="V128" s="44"/>
      <c r="W128" s="44" t="s">
        <v>1528</v>
      </c>
      <c r="X128" s="48" t="s">
        <v>1529</v>
      </c>
      <c r="Y128" s="44" t="s">
        <v>1530</v>
      </c>
    </row>
    <row r="129" spans="1:25" x14ac:dyDescent="0.25">
      <c r="A129" s="44" t="s">
        <v>1460</v>
      </c>
      <c r="B129" s="44" t="s">
        <v>225</v>
      </c>
      <c r="C129" s="44" t="s">
        <v>1531</v>
      </c>
      <c r="D129" s="44" t="s">
        <v>147</v>
      </c>
      <c r="E129" s="44" t="s">
        <v>128</v>
      </c>
      <c r="F129" s="44">
        <v>17</v>
      </c>
      <c r="G129" s="44" t="s">
        <v>111</v>
      </c>
      <c r="H129" s="44" t="s">
        <v>120</v>
      </c>
      <c r="I129" s="44" t="s">
        <v>656</v>
      </c>
      <c r="J129" s="44">
        <v>6</v>
      </c>
      <c r="K129" s="44">
        <v>0</v>
      </c>
      <c r="L129" s="45"/>
      <c r="M129" s="44">
        <v>1735</v>
      </c>
      <c r="N129" s="46">
        <f t="shared" si="2"/>
        <v>3.4582132564841498E-3</v>
      </c>
      <c r="O129" s="47" t="str">
        <f t="shared" si="3"/>
        <v/>
      </c>
      <c r="P129" s="44">
        <v>69</v>
      </c>
      <c r="Q129" s="44">
        <v>2</v>
      </c>
      <c r="R129" s="44">
        <v>2</v>
      </c>
      <c r="S129" s="44" t="s">
        <v>1067</v>
      </c>
      <c r="T129" s="44" t="s">
        <v>1067</v>
      </c>
      <c r="U129" s="44"/>
      <c r="V129" s="44"/>
      <c r="W129" s="44" t="s">
        <v>1532</v>
      </c>
      <c r="X129" s="48" t="s">
        <v>1533</v>
      </c>
      <c r="Y129" s="44" t="s">
        <v>1534</v>
      </c>
    </row>
    <row r="130" spans="1:25" x14ac:dyDescent="0.25">
      <c r="A130" s="44" t="s">
        <v>1460</v>
      </c>
      <c r="B130" s="44" t="s">
        <v>225</v>
      </c>
      <c r="C130" s="44" t="s">
        <v>1535</v>
      </c>
      <c r="D130" s="44" t="s">
        <v>147</v>
      </c>
      <c r="E130" s="44" t="s">
        <v>136</v>
      </c>
      <c r="F130" s="44">
        <v>17</v>
      </c>
      <c r="G130" s="44" t="s">
        <v>109</v>
      </c>
      <c r="H130" s="44" t="s">
        <v>119</v>
      </c>
      <c r="I130" s="44" t="s">
        <v>650</v>
      </c>
      <c r="J130" s="44">
        <v>5</v>
      </c>
      <c r="K130" s="44">
        <v>0</v>
      </c>
      <c r="L130" s="45"/>
      <c r="M130" s="44">
        <v>1735</v>
      </c>
      <c r="N130" s="46">
        <f t="shared" ref="N130:N193" si="4">(J130+K130)/M130</f>
        <v>2.881844380403458E-3</v>
      </c>
      <c r="O130" s="47" t="str">
        <f t="shared" ref="O130:O193" si="5">IF(L130="","",L130/M130)</f>
        <v/>
      </c>
      <c r="P130" s="44">
        <v>57</v>
      </c>
      <c r="Q130" s="44">
        <v>4</v>
      </c>
      <c r="R130" s="44">
        <v>1</v>
      </c>
      <c r="S130" s="44" t="s">
        <v>1068</v>
      </c>
      <c r="T130" s="44" t="s">
        <v>1067</v>
      </c>
      <c r="U130" s="44"/>
      <c r="V130" s="44"/>
      <c r="W130" s="44" t="s">
        <v>1536</v>
      </c>
      <c r="X130" s="48" t="s">
        <v>1537</v>
      </c>
      <c r="Y130" s="44" t="s">
        <v>1538</v>
      </c>
    </row>
    <row r="131" spans="1:25" x14ac:dyDescent="0.25">
      <c r="A131" s="44" t="s">
        <v>1460</v>
      </c>
      <c r="B131" s="44" t="s">
        <v>225</v>
      </c>
      <c r="C131" s="44" t="s">
        <v>1171</v>
      </c>
      <c r="D131" s="44" t="s">
        <v>147</v>
      </c>
      <c r="E131" s="44" t="s">
        <v>132</v>
      </c>
      <c r="F131" s="44">
        <v>17</v>
      </c>
      <c r="G131" s="44" t="s">
        <v>109</v>
      </c>
      <c r="H131" s="44" t="s">
        <v>121</v>
      </c>
      <c r="I131" s="44" t="s">
        <v>656</v>
      </c>
      <c r="J131" s="44">
        <v>6</v>
      </c>
      <c r="K131" s="44">
        <v>0</v>
      </c>
      <c r="L131" s="45"/>
      <c r="M131" s="44">
        <v>1735</v>
      </c>
      <c r="N131" s="46">
        <f t="shared" si="4"/>
        <v>3.4582132564841498E-3</v>
      </c>
      <c r="O131" s="47" t="str">
        <f t="shared" si="5"/>
        <v/>
      </c>
      <c r="P131" s="44">
        <v>93</v>
      </c>
      <c r="Q131" s="44">
        <v>3</v>
      </c>
      <c r="R131" s="44">
        <v>2</v>
      </c>
      <c r="S131" s="44" t="s">
        <v>1067</v>
      </c>
      <c r="T131" s="44" t="s">
        <v>1068</v>
      </c>
      <c r="U131" s="44"/>
      <c r="V131" s="44"/>
      <c r="W131" s="44" t="s">
        <v>1539</v>
      </c>
      <c r="X131" s="48" t="s">
        <v>1540</v>
      </c>
      <c r="Y131" s="44" t="s">
        <v>1541</v>
      </c>
    </row>
    <row r="132" spans="1:25" x14ac:dyDescent="0.25">
      <c r="A132" s="44" t="s">
        <v>1460</v>
      </c>
      <c r="B132" s="44" t="s">
        <v>225</v>
      </c>
      <c r="C132" s="44" t="s">
        <v>1184</v>
      </c>
      <c r="D132" s="44" t="s">
        <v>147</v>
      </c>
      <c r="E132" s="44" t="s">
        <v>126</v>
      </c>
      <c r="F132" s="44">
        <v>17</v>
      </c>
      <c r="G132" s="44" t="s">
        <v>111</v>
      </c>
      <c r="H132" s="44" t="s">
        <v>121</v>
      </c>
      <c r="I132" s="44" t="s">
        <v>656</v>
      </c>
      <c r="J132" s="44">
        <v>6</v>
      </c>
      <c r="K132" s="44">
        <v>0</v>
      </c>
      <c r="L132" s="45"/>
      <c r="M132" s="44">
        <v>1735</v>
      </c>
      <c r="N132" s="46">
        <f t="shared" si="4"/>
        <v>3.4582132564841498E-3</v>
      </c>
      <c r="O132" s="47" t="str">
        <f t="shared" si="5"/>
        <v/>
      </c>
      <c r="P132" s="44">
        <v>113</v>
      </c>
      <c r="Q132" s="44">
        <v>3</v>
      </c>
      <c r="R132" s="44">
        <v>2</v>
      </c>
      <c r="S132" s="44" t="s">
        <v>1067</v>
      </c>
      <c r="T132" s="44" t="s">
        <v>1068</v>
      </c>
      <c r="U132" s="44"/>
      <c r="V132" s="44"/>
      <c r="W132" s="44" t="s">
        <v>1542</v>
      </c>
      <c r="X132" s="48" t="s">
        <v>1543</v>
      </c>
      <c r="Y132" s="44" t="s">
        <v>1544</v>
      </c>
    </row>
    <row r="133" spans="1:25" x14ac:dyDescent="0.25">
      <c r="A133" s="44" t="s">
        <v>1460</v>
      </c>
      <c r="B133" s="44" t="s">
        <v>225</v>
      </c>
      <c r="C133" s="44" t="s">
        <v>1192</v>
      </c>
      <c r="D133" s="44" t="s">
        <v>147</v>
      </c>
      <c r="E133" s="44" t="s">
        <v>134</v>
      </c>
      <c r="F133" s="44">
        <v>17</v>
      </c>
      <c r="G133" s="44" t="s">
        <v>111</v>
      </c>
      <c r="H133" s="44" t="s">
        <v>121</v>
      </c>
      <c r="I133" s="44" t="s">
        <v>656</v>
      </c>
      <c r="J133" s="44">
        <v>3</v>
      </c>
      <c r="K133" s="44">
        <v>0</v>
      </c>
      <c r="L133" s="45"/>
      <c r="M133" s="44">
        <v>1735</v>
      </c>
      <c r="N133" s="46">
        <f t="shared" si="4"/>
        <v>1.7291066282420749E-3</v>
      </c>
      <c r="O133" s="47" t="str">
        <f t="shared" si="5"/>
        <v/>
      </c>
      <c r="P133" s="44">
        <v>80</v>
      </c>
      <c r="Q133" s="44">
        <v>3</v>
      </c>
      <c r="R133" s="44">
        <v>2</v>
      </c>
      <c r="S133" s="44" t="s">
        <v>1067</v>
      </c>
      <c r="T133" s="44" t="s">
        <v>1068</v>
      </c>
      <c r="U133" s="44"/>
      <c r="V133" s="44"/>
      <c r="W133" s="44" t="s">
        <v>1545</v>
      </c>
      <c r="X133" s="48" t="s">
        <v>1546</v>
      </c>
      <c r="Y133" s="44" t="s">
        <v>1547</v>
      </c>
    </row>
    <row r="134" spans="1:25" x14ac:dyDescent="0.25">
      <c r="A134" s="44" t="s">
        <v>1460</v>
      </c>
      <c r="B134" s="44" t="s">
        <v>225</v>
      </c>
      <c r="C134" s="44" t="s">
        <v>1548</v>
      </c>
      <c r="D134" s="44" t="s">
        <v>147</v>
      </c>
      <c r="E134" s="44" t="s">
        <v>128</v>
      </c>
      <c r="F134" s="44">
        <v>17</v>
      </c>
      <c r="G134" s="44" t="s">
        <v>111</v>
      </c>
      <c r="H134" s="44" t="s">
        <v>120</v>
      </c>
      <c r="I134" s="44" t="s">
        <v>646</v>
      </c>
      <c r="J134" s="44">
        <v>2</v>
      </c>
      <c r="K134" s="44">
        <v>0</v>
      </c>
      <c r="L134" s="45"/>
      <c r="M134" s="44">
        <v>1735</v>
      </c>
      <c r="N134" s="46">
        <f t="shared" si="4"/>
        <v>1.1527377521613833E-3</v>
      </c>
      <c r="O134" s="47" t="str">
        <f t="shared" si="5"/>
        <v/>
      </c>
      <c r="P134" s="44">
        <v>100</v>
      </c>
      <c r="Q134" s="44">
        <v>3</v>
      </c>
      <c r="R134" s="44">
        <v>2</v>
      </c>
      <c r="S134" s="44" t="s">
        <v>1067</v>
      </c>
      <c r="T134" s="44" t="s">
        <v>1068</v>
      </c>
      <c r="U134" s="44"/>
      <c r="V134" s="44"/>
      <c r="W134" s="44" t="s">
        <v>1549</v>
      </c>
      <c r="X134" s="48" t="s">
        <v>1550</v>
      </c>
      <c r="Y134" s="44" t="s">
        <v>1551</v>
      </c>
    </row>
    <row r="135" spans="1:25" x14ac:dyDescent="0.25">
      <c r="A135" s="44" t="s">
        <v>1460</v>
      </c>
      <c r="B135" s="44" t="s">
        <v>225</v>
      </c>
      <c r="C135" s="44" t="s">
        <v>1552</v>
      </c>
      <c r="D135" s="44" t="s">
        <v>147</v>
      </c>
      <c r="E135" s="44" t="s">
        <v>136</v>
      </c>
      <c r="F135" s="44">
        <v>17</v>
      </c>
      <c r="G135" s="44" t="s">
        <v>109</v>
      </c>
      <c r="H135" s="44" t="s">
        <v>119</v>
      </c>
      <c r="I135" s="44" t="s">
        <v>629</v>
      </c>
      <c r="J135" s="44">
        <v>6</v>
      </c>
      <c r="K135" s="44">
        <v>0</v>
      </c>
      <c r="L135" s="45"/>
      <c r="M135" s="44">
        <v>1735</v>
      </c>
      <c r="N135" s="46">
        <f t="shared" si="4"/>
        <v>3.4582132564841498E-3</v>
      </c>
      <c r="O135" s="47" t="str">
        <f t="shared" si="5"/>
        <v/>
      </c>
      <c r="P135" s="44">
        <v>74</v>
      </c>
      <c r="Q135" s="44">
        <v>3</v>
      </c>
      <c r="R135" s="44">
        <v>0</v>
      </c>
      <c r="S135" s="44" t="s">
        <v>1068</v>
      </c>
      <c r="T135" s="44" t="s">
        <v>1068</v>
      </c>
      <c r="U135" s="44"/>
      <c r="V135" s="44"/>
      <c r="W135" s="44" t="s">
        <v>1553</v>
      </c>
      <c r="X135" s="48" t="s">
        <v>1554</v>
      </c>
      <c r="Y135" s="44" t="s">
        <v>1555</v>
      </c>
    </row>
    <row r="136" spans="1:25" x14ac:dyDescent="0.25">
      <c r="A136" s="44" t="s">
        <v>1460</v>
      </c>
      <c r="B136" s="44" t="s">
        <v>225</v>
      </c>
      <c r="C136" s="44" t="s">
        <v>1556</v>
      </c>
      <c r="D136" s="44" t="s">
        <v>147</v>
      </c>
      <c r="E136" s="44" t="s">
        <v>132</v>
      </c>
      <c r="F136" s="44">
        <v>17</v>
      </c>
      <c r="G136" s="44" t="s">
        <v>109</v>
      </c>
      <c r="H136" s="44" t="s">
        <v>120</v>
      </c>
      <c r="I136" s="44" t="s">
        <v>650</v>
      </c>
      <c r="J136" s="44">
        <v>8</v>
      </c>
      <c r="K136" s="44">
        <v>0</v>
      </c>
      <c r="L136" s="45"/>
      <c r="M136" s="44">
        <v>1735</v>
      </c>
      <c r="N136" s="46">
        <f t="shared" si="4"/>
        <v>4.6109510086455334E-3</v>
      </c>
      <c r="O136" s="47" t="str">
        <f t="shared" si="5"/>
        <v/>
      </c>
      <c r="P136" s="44">
        <v>77</v>
      </c>
      <c r="Q136" s="44">
        <v>3</v>
      </c>
      <c r="R136" s="44">
        <v>2</v>
      </c>
      <c r="S136" s="44" t="s">
        <v>1067</v>
      </c>
      <c r="T136" s="44" t="s">
        <v>1067</v>
      </c>
      <c r="U136" s="44"/>
      <c r="V136" s="44"/>
      <c r="W136" s="44" t="s">
        <v>1557</v>
      </c>
      <c r="X136" s="48" t="s">
        <v>1558</v>
      </c>
      <c r="Y136" s="44" t="s">
        <v>1559</v>
      </c>
    </row>
    <row r="137" spans="1:25" x14ac:dyDescent="0.25">
      <c r="A137" s="44" t="s">
        <v>1460</v>
      </c>
      <c r="B137" s="44" t="s">
        <v>225</v>
      </c>
      <c r="C137" s="44" t="s">
        <v>1560</v>
      </c>
      <c r="D137" s="44" t="s">
        <v>147</v>
      </c>
      <c r="E137" s="44" t="s">
        <v>126</v>
      </c>
      <c r="F137" s="44">
        <v>17</v>
      </c>
      <c r="G137" s="44" t="s">
        <v>111</v>
      </c>
      <c r="H137" s="44" t="s">
        <v>116</v>
      </c>
      <c r="I137" s="44" t="s">
        <v>629</v>
      </c>
      <c r="J137" s="44">
        <v>3</v>
      </c>
      <c r="K137" s="44">
        <v>0</v>
      </c>
      <c r="L137" s="45"/>
      <c r="M137" s="44">
        <v>1735</v>
      </c>
      <c r="N137" s="46">
        <f t="shared" si="4"/>
        <v>1.7291066282420749E-3</v>
      </c>
      <c r="O137" s="47" t="str">
        <f t="shared" si="5"/>
        <v/>
      </c>
      <c r="P137" s="44">
        <v>68</v>
      </c>
      <c r="Q137" s="44">
        <v>3</v>
      </c>
      <c r="R137" s="44">
        <v>1</v>
      </c>
      <c r="S137" s="44" t="s">
        <v>1068</v>
      </c>
      <c r="T137" s="44" t="s">
        <v>1067</v>
      </c>
      <c r="U137" s="44"/>
      <c r="V137" s="44"/>
      <c r="W137" s="44" t="s">
        <v>1561</v>
      </c>
      <c r="X137" s="48" t="s">
        <v>1562</v>
      </c>
      <c r="Y137" s="44" t="s">
        <v>1563</v>
      </c>
    </row>
    <row r="138" spans="1:25" x14ac:dyDescent="0.25">
      <c r="A138" s="44" t="s">
        <v>1460</v>
      </c>
      <c r="B138" s="44" t="s">
        <v>225</v>
      </c>
      <c r="C138" s="44" t="s">
        <v>1564</v>
      </c>
      <c r="D138" s="44" t="s">
        <v>146</v>
      </c>
      <c r="E138" s="44" t="s">
        <v>126</v>
      </c>
      <c r="F138" s="44">
        <v>17</v>
      </c>
      <c r="G138" s="44" t="s">
        <v>109</v>
      </c>
      <c r="H138" s="44" t="s">
        <v>120</v>
      </c>
      <c r="I138" s="44" t="s">
        <v>650</v>
      </c>
      <c r="J138" s="44">
        <v>7</v>
      </c>
      <c r="K138" s="44">
        <v>0</v>
      </c>
      <c r="L138" s="45"/>
      <c r="M138" s="44">
        <v>1735</v>
      </c>
      <c r="N138" s="46">
        <f t="shared" si="4"/>
        <v>4.0345821325648411E-3</v>
      </c>
      <c r="O138" s="47" t="str">
        <f t="shared" si="5"/>
        <v/>
      </c>
      <c r="P138" s="44">
        <v>86</v>
      </c>
      <c r="Q138" s="44">
        <v>3</v>
      </c>
      <c r="R138" s="44">
        <v>3</v>
      </c>
      <c r="S138" s="44" t="s">
        <v>1067</v>
      </c>
      <c r="T138" s="44" t="s">
        <v>1067</v>
      </c>
      <c r="U138" s="44"/>
      <c r="V138" s="44"/>
      <c r="W138" s="44" t="s">
        <v>1565</v>
      </c>
      <c r="X138" s="48" t="s">
        <v>1566</v>
      </c>
      <c r="Y138" s="44" t="s">
        <v>1567</v>
      </c>
    </row>
    <row r="139" spans="1:25" x14ac:dyDescent="0.25">
      <c r="A139" s="44" t="s">
        <v>1460</v>
      </c>
      <c r="B139" s="44" t="s">
        <v>225</v>
      </c>
      <c r="C139" s="44" t="s">
        <v>1568</v>
      </c>
      <c r="D139" s="44" t="s">
        <v>146</v>
      </c>
      <c r="E139" s="44" t="s">
        <v>134</v>
      </c>
      <c r="F139" s="44">
        <v>17</v>
      </c>
      <c r="G139" s="44" t="s">
        <v>109</v>
      </c>
      <c r="H139" s="44" t="s">
        <v>120</v>
      </c>
      <c r="I139" s="44" t="s">
        <v>656</v>
      </c>
      <c r="J139" s="44">
        <v>4</v>
      </c>
      <c r="K139" s="44">
        <v>0</v>
      </c>
      <c r="L139" s="45"/>
      <c r="M139" s="44">
        <v>1735</v>
      </c>
      <c r="N139" s="46">
        <f t="shared" si="4"/>
        <v>2.3054755043227667E-3</v>
      </c>
      <c r="O139" s="47" t="str">
        <f t="shared" si="5"/>
        <v/>
      </c>
      <c r="P139" s="44">
        <v>90</v>
      </c>
      <c r="Q139" s="44">
        <v>3</v>
      </c>
      <c r="R139" s="44">
        <v>2</v>
      </c>
      <c r="S139" s="44" t="s">
        <v>1067</v>
      </c>
      <c r="T139" s="44" t="s">
        <v>1068</v>
      </c>
      <c r="U139" s="44"/>
      <c r="V139" s="44"/>
      <c r="W139" s="44" t="s">
        <v>1569</v>
      </c>
      <c r="X139" s="48" t="s">
        <v>1570</v>
      </c>
      <c r="Y139" s="44" t="s">
        <v>1571</v>
      </c>
    </row>
    <row r="140" spans="1:25" x14ac:dyDescent="0.25">
      <c r="A140" s="44" t="s">
        <v>1460</v>
      </c>
      <c r="B140" s="44" t="s">
        <v>225</v>
      </c>
      <c r="C140" s="44" t="s">
        <v>1213</v>
      </c>
      <c r="D140" s="44" t="s">
        <v>146</v>
      </c>
      <c r="E140" s="44" t="s">
        <v>130</v>
      </c>
      <c r="F140" s="44">
        <v>17</v>
      </c>
      <c r="G140" s="44" t="s">
        <v>111</v>
      </c>
      <c r="H140" s="44" t="s">
        <v>120</v>
      </c>
      <c r="I140" s="44" t="s">
        <v>656</v>
      </c>
      <c r="J140" s="44">
        <v>6</v>
      </c>
      <c r="K140" s="44">
        <v>0</v>
      </c>
      <c r="L140" s="45"/>
      <c r="M140" s="44">
        <v>1735</v>
      </c>
      <c r="N140" s="46">
        <f t="shared" si="4"/>
        <v>3.4582132564841498E-3</v>
      </c>
      <c r="O140" s="47" t="str">
        <f t="shared" si="5"/>
        <v/>
      </c>
      <c r="P140" s="44">
        <v>61</v>
      </c>
      <c r="Q140" s="44">
        <v>2</v>
      </c>
      <c r="R140" s="44">
        <v>0</v>
      </c>
      <c r="S140" s="44" t="s">
        <v>1067</v>
      </c>
      <c r="T140" s="44" t="s">
        <v>1068</v>
      </c>
      <c r="U140" s="44"/>
      <c r="V140" s="44"/>
      <c r="W140" s="44" t="s">
        <v>1572</v>
      </c>
      <c r="X140" s="48" t="s">
        <v>1573</v>
      </c>
      <c r="Y140" s="44" t="s">
        <v>1574</v>
      </c>
    </row>
    <row r="141" spans="1:25" x14ac:dyDescent="0.25">
      <c r="A141" s="44" t="s">
        <v>1460</v>
      </c>
      <c r="B141" s="44" t="s">
        <v>225</v>
      </c>
      <c r="C141" s="44" t="s">
        <v>1217</v>
      </c>
      <c r="D141" s="44" t="s">
        <v>146</v>
      </c>
      <c r="E141" s="44" t="s">
        <v>126</v>
      </c>
      <c r="F141" s="44">
        <v>17</v>
      </c>
      <c r="G141" s="44" t="s">
        <v>111</v>
      </c>
      <c r="H141" s="44" t="s">
        <v>119</v>
      </c>
      <c r="I141" s="44" t="s">
        <v>629</v>
      </c>
      <c r="J141" s="44">
        <v>4</v>
      </c>
      <c r="K141" s="44">
        <v>0</v>
      </c>
      <c r="L141" s="45"/>
      <c r="M141" s="44">
        <v>1735</v>
      </c>
      <c r="N141" s="46">
        <f t="shared" si="4"/>
        <v>2.3054755043227667E-3</v>
      </c>
      <c r="O141" s="47" t="str">
        <f t="shared" si="5"/>
        <v/>
      </c>
      <c r="P141" s="44">
        <v>86</v>
      </c>
      <c r="Q141" s="44">
        <v>2</v>
      </c>
      <c r="R141" s="44">
        <v>2</v>
      </c>
      <c r="S141" s="44" t="s">
        <v>1067</v>
      </c>
      <c r="T141" s="44" t="s">
        <v>1068</v>
      </c>
      <c r="U141" s="44"/>
      <c r="V141" s="44"/>
      <c r="W141" s="44" t="s">
        <v>1575</v>
      </c>
      <c r="X141" s="48" t="s">
        <v>1576</v>
      </c>
      <c r="Y141" s="44" t="s">
        <v>1577</v>
      </c>
    </row>
    <row r="142" spans="1:25" x14ac:dyDescent="0.25">
      <c r="A142" s="44" t="s">
        <v>1460</v>
      </c>
      <c r="B142" s="44" t="s">
        <v>225</v>
      </c>
      <c r="C142" s="44" t="s">
        <v>1217</v>
      </c>
      <c r="D142" s="44" t="s">
        <v>146</v>
      </c>
      <c r="E142" s="44" t="s">
        <v>126</v>
      </c>
      <c r="F142" s="44">
        <v>9</v>
      </c>
      <c r="G142" s="44" t="s">
        <v>108</v>
      </c>
      <c r="H142" s="44" t="s">
        <v>119</v>
      </c>
      <c r="I142" s="44" t="s">
        <v>656</v>
      </c>
      <c r="J142" s="44">
        <v>14</v>
      </c>
      <c r="K142" s="44">
        <v>0</v>
      </c>
      <c r="L142" s="45">
        <v>1103</v>
      </c>
      <c r="M142" s="44">
        <v>1735</v>
      </c>
      <c r="N142" s="46">
        <f t="shared" si="4"/>
        <v>8.0691642651296823E-3</v>
      </c>
      <c r="O142" s="47">
        <f t="shared" si="5"/>
        <v>0.63573487031700293</v>
      </c>
      <c r="P142" s="44">
        <v>42</v>
      </c>
      <c r="Q142" s="44">
        <v>3</v>
      </c>
      <c r="R142" s="44">
        <v>0</v>
      </c>
      <c r="S142" s="44" t="s">
        <v>1068</v>
      </c>
      <c r="T142" s="44" t="s">
        <v>1068</v>
      </c>
      <c r="U142" s="44"/>
      <c r="V142" s="44"/>
      <c r="W142" s="44" t="s">
        <v>1578</v>
      </c>
      <c r="X142" s="48" t="s">
        <v>1579</v>
      </c>
      <c r="Y142" s="44" t="s">
        <v>1580</v>
      </c>
    </row>
    <row r="143" spans="1:25" x14ac:dyDescent="0.25">
      <c r="A143" s="44" t="s">
        <v>1460</v>
      </c>
      <c r="B143" s="44" t="s">
        <v>225</v>
      </c>
      <c r="C143" s="44" t="s">
        <v>1581</v>
      </c>
      <c r="D143" s="44" t="s">
        <v>146</v>
      </c>
      <c r="E143" s="44" t="s">
        <v>136</v>
      </c>
      <c r="F143" s="44">
        <v>17</v>
      </c>
      <c r="G143" s="44" t="s">
        <v>111</v>
      </c>
      <c r="H143" s="44" t="s">
        <v>121</v>
      </c>
      <c r="I143" s="44" t="s">
        <v>656</v>
      </c>
      <c r="J143" s="44">
        <v>6</v>
      </c>
      <c r="K143" s="44">
        <v>0</v>
      </c>
      <c r="L143" s="45"/>
      <c r="M143" s="44">
        <v>1735</v>
      </c>
      <c r="N143" s="46">
        <f t="shared" si="4"/>
        <v>3.4582132564841498E-3</v>
      </c>
      <c r="O143" s="47" t="str">
        <f t="shared" si="5"/>
        <v/>
      </c>
      <c r="P143" s="44">
        <v>70</v>
      </c>
      <c r="Q143" s="44">
        <v>2</v>
      </c>
      <c r="R143" s="44">
        <v>0</v>
      </c>
      <c r="S143" s="44" t="s">
        <v>1067</v>
      </c>
      <c r="T143" s="44" t="s">
        <v>1068</v>
      </c>
      <c r="U143" s="44"/>
      <c r="V143" s="44"/>
      <c r="W143" s="44" t="s">
        <v>1582</v>
      </c>
      <c r="X143" s="48" t="s">
        <v>1583</v>
      </c>
      <c r="Y143" s="44" t="s">
        <v>1584</v>
      </c>
    </row>
    <row r="144" spans="1:25" x14ac:dyDescent="0.25">
      <c r="A144" s="44" t="s">
        <v>1460</v>
      </c>
      <c r="B144" s="44" t="s">
        <v>225</v>
      </c>
      <c r="C144" s="44" t="s">
        <v>1585</v>
      </c>
      <c r="D144" s="44" t="s">
        <v>146</v>
      </c>
      <c r="E144" s="44" t="s">
        <v>132</v>
      </c>
      <c r="F144" s="44">
        <v>17</v>
      </c>
      <c r="G144" s="44" t="s">
        <v>111</v>
      </c>
      <c r="H144" s="44" t="s">
        <v>120</v>
      </c>
      <c r="I144" s="44" t="s">
        <v>650</v>
      </c>
      <c r="J144" s="44">
        <v>3</v>
      </c>
      <c r="K144" s="44">
        <v>0</v>
      </c>
      <c r="L144" s="45"/>
      <c r="M144" s="44">
        <v>1735</v>
      </c>
      <c r="N144" s="46">
        <f t="shared" si="4"/>
        <v>1.7291066282420749E-3</v>
      </c>
      <c r="O144" s="47" t="str">
        <f t="shared" si="5"/>
        <v/>
      </c>
      <c r="P144" s="44">
        <v>56</v>
      </c>
      <c r="Q144" s="44">
        <v>2</v>
      </c>
      <c r="R144" s="44">
        <v>2</v>
      </c>
      <c r="S144" s="44" t="s">
        <v>1067</v>
      </c>
      <c r="T144" s="44" t="s">
        <v>1067</v>
      </c>
      <c r="U144" s="44"/>
      <c r="V144" s="44"/>
      <c r="W144" s="44" t="s">
        <v>1586</v>
      </c>
      <c r="X144" s="48" t="s">
        <v>1587</v>
      </c>
      <c r="Y144" s="44" t="s">
        <v>1588</v>
      </c>
    </row>
    <row r="145" spans="1:25" x14ac:dyDescent="0.25">
      <c r="A145" s="44" t="s">
        <v>1460</v>
      </c>
      <c r="B145" s="44" t="s">
        <v>225</v>
      </c>
      <c r="C145" s="44" t="s">
        <v>1589</v>
      </c>
      <c r="D145" s="44" t="s">
        <v>146</v>
      </c>
      <c r="E145" s="44" t="s">
        <v>128</v>
      </c>
      <c r="F145" s="44">
        <v>17</v>
      </c>
      <c r="G145" s="44" t="s">
        <v>111</v>
      </c>
      <c r="H145" s="44" t="s">
        <v>120</v>
      </c>
      <c r="I145" s="44" t="s">
        <v>656</v>
      </c>
      <c r="J145" s="44">
        <v>5</v>
      </c>
      <c r="K145" s="44">
        <v>0</v>
      </c>
      <c r="L145" s="45"/>
      <c r="M145" s="44">
        <v>1735</v>
      </c>
      <c r="N145" s="46">
        <f t="shared" si="4"/>
        <v>2.881844380403458E-3</v>
      </c>
      <c r="O145" s="47" t="str">
        <f t="shared" si="5"/>
        <v/>
      </c>
      <c r="P145" s="44">
        <v>64</v>
      </c>
      <c r="Q145" s="44">
        <v>2</v>
      </c>
      <c r="R145" s="44">
        <v>2</v>
      </c>
      <c r="S145" s="44" t="s">
        <v>1067</v>
      </c>
      <c r="T145" s="44" t="s">
        <v>1068</v>
      </c>
      <c r="U145" s="44"/>
      <c r="V145" s="44"/>
      <c r="W145" s="44" t="s">
        <v>1590</v>
      </c>
      <c r="X145" s="48" t="s">
        <v>1591</v>
      </c>
      <c r="Y145" s="44" t="s">
        <v>1592</v>
      </c>
    </row>
    <row r="146" spans="1:25" x14ac:dyDescent="0.25">
      <c r="A146" s="44" t="s">
        <v>1460</v>
      </c>
      <c r="B146" s="44" t="s">
        <v>225</v>
      </c>
      <c r="C146" s="44" t="s">
        <v>1593</v>
      </c>
      <c r="D146" s="44" t="s">
        <v>146</v>
      </c>
      <c r="E146" s="44" t="s">
        <v>128</v>
      </c>
      <c r="F146" s="44">
        <v>17</v>
      </c>
      <c r="G146" s="44" t="s">
        <v>109</v>
      </c>
      <c r="H146" s="44" t="s">
        <v>120</v>
      </c>
      <c r="I146" s="44" t="s">
        <v>656</v>
      </c>
      <c r="J146" s="44">
        <v>4</v>
      </c>
      <c r="K146" s="44">
        <v>0</v>
      </c>
      <c r="L146" s="45"/>
      <c r="M146" s="44">
        <v>1735</v>
      </c>
      <c r="N146" s="46">
        <f t="shared" si="4"/>
        <v>2.3054755043227667E-3</v>
      </c>
      <c r="O146" s="47" t="str">
        <f t="shared" si="5"/>
        <v/>
      </c>
      <c r="P146" s="44">
        <v>73</v>
      </c>
      <c r="Q146" s="44">
        <v>2</v>
      </c>
      <c r="R146" s="44">
        <v>1</v>
      </c>
      <c r="S146" s="44" t="s">
        <v>1067</v>
      </c>
      <c r="T146" s="44" t="s">
        <v>1067</v>
      </c>
      <c r="U146" s="44"/>
      <c r="V146" s="44"/>
      <c r="W146" s="44" t="s">
        <v>1594</v>
      </c>
      <c r="X146" s="48" t="s">
        <v>1595</v>
      </c>
      <c r="Y146" s="44" t="s">
        <v>1596</v>
      </c>
    </row>
    <row r="147" spans="1:25" x14ac:dyDescent="0.25">
      <c r="A147" s="44" t="s">
        <v>1460</v>
      </c>
      <c r="B147" s="44" t="s">
        <v>225</v>
      </c>
      <c r="C147" s="44" t="s">
        <v>1597</v>
      </c>
      <c r="D147" s="44" t="s">
        <v>146</v>
      </c>
      <c r="E147" s="44" t="s">
        <v>137</v>
      </c>
      <c r="F147" s="44">
        <v>17</v>
      </c>
      <c r="G147" s="44" t="s">
        <v>111</v>
      </c>
      <c r="H147" s="44" t="s">
        <v>120</v>
      </c>
      <c r="I147" s="44" t="s">
        <v>650</v>
      </c>
      <c r="J147" s="44">
        <v>1</v>
      </c>
      <c r="K147" s="44">
        <v>0</v>
      </c>
      <c r="L147" s="45"/>
      <c r="M147" s="44">
        <v>1735</v>
      </c>
      <c r="N147" s="46">
        <f t="shared" si="4"/>
        <v>5.7636887608069167E-4</v>
      </c>
      <c r="O147" s="47" t="str">
        <f t="shared" si="5"/>
        <v/>
      </c>
      <c r="P147" s="44">
        <v>75</v>
      </c>
      <c r="Q147" s="44">
        <v>2</v>
      </c>
      <c r="R147" s="44">
        <v>2</v>
      </c>
      <c r="S147" s="44" t="s">
        <v>1067</v>
      </c>
      <c r="T147" s="44" t="s">
        <v>1067</v>
      </c>
      <c r="U147" s="44"/>
      <c r="V147" s="44"/>
      <c r="W147" s="44" t="s">
        <v>1598</v>
      </c>
      <c r="X147" s="48" t="s">
        <v>1599</v>
      </c>
      <c r="Y147" s="44" t="s">
        <v>1600</v>
      </c>
    </row>
    <row r="148" spans="1:25" x14ac:dyDescent="0.25">
      <c r="A148" s="44" t="s">
        <v>1460</v>
      </c>
      <c r="B148" s="44" t="s">
        <v>225</v>
      </c>
      <c r="C148" s="44" t="s">
        <v>1601</v>
      </c>
      <c r="D148" s="44" t="s">
        <v>146</v>
      </c>
      <c r="E148" s="44" t="s">
        <v>130</v>
      </c>
      <c r="F148" s="44">
        <v>17</v>
      </c>
      <c r="G148" s="44" t="s">
        <v>109</v>
      </c>
      <c r="H148" s="44" t="s">
        <v>119</v>
      </c>
      <c r="I148" s="44" t="s">
        <v>650</v>
      </c>
      <c r="J148" s="44">
        <v>5</v>
      </c>
      <c r="K148" s="44">
        <v>0</v>
      </c>
      <c r="L148" s="45"/>
      <c r="M148" s="44">
        <v>1735</v>
      </c>
      <c r="N148" s="46">
        <f t="shared" si="4"/>
        <v>2.881844380403458E-3</v>
      </c>
      <c r="O148" s="47" t="str">
        <f t="shared" si="5"/>
        <v/>
      </c>
      <c r="P148" s="44">
        <v>61</v>
      </c>
      <c r="Q148" s="44">
        <v>3</v>
      </c>
      <c r="R148" s="44">
        <v>1</v>
      </c>
      <c r="S148" s="44" t="s">
        <v>1068</v>
      </c>
      <c r="T148" s="44" t="s">
        <v>1067</v>
      </c>
      <c r="U148" s="44"/>
      <c r="V148" s="44"/>
      <c r="W148" s="44" t="s">
        <v>1602</v>
      </c>
      <c r="X148" s="48" t="s">
        <v>1603</v>
      </c>
      <c r="Y148" s="44" t="s">
        <v>1604</v>
      </c>
    </row>
    <row r="149" spans="1:25" x14ac:dyDescent="0.25">
      <c r="A149" s="44" t="s">
        <v>1460</v>
      </c>
      <c r="B149" s="44" t="s">
        <v>225</v>
      </c>
      <c r="C149" s="44" t="s">
        <v>1266</v>
      </c>
      <c r="D149" s="44" t="s">
        <v>145</v>
      </c>
      <c r="E149" s="44" t="s">
        <v>130</v>
      </c>
      <c r="F149" s="44">
        <v>17</v>
      </c>
      <c r="G149" s="44" t="s">
        <v>111</v>
      </c>
      <c r="H149" s="44" t="s">
        <v>120</v>
      </c>
      <c r="I149" s="44" t="s">
        <v>656</v>
      </c>
      <c r="J149" s="44">
        <v>3</v>
      </c>
      <c r="K149" s="44">
        <v>0</v>
      </c>
      <c r="L149" s="45"/>
      <c r="M149" s="44">
        <v>1735</v>
      </c>
      <c r="N149" s="46">
        <f t="shared" si="4"/>
        <v>1.7291066282420749E-3</v>
      </c>
      <c r="O149" s="47" t="str">
        <f t="shared" si="5"/>
        <v/>
      </c>
      <c r="P149" s="44">
        <v>47</v>
      </c>
      <c r="Q149" s="44">
        <v>2</v>
      </c>
      <c r="R149" s="44">
        <v>1</v>
      </c>
      <c r="S149" s="44" t="s">
        <v>1067</v>
      </c>
      <c r="T149" s="44" t="s">
        <v>1068</v>
      </c>
      <c r="U149" s="44"/>
      <c r="V149" s="44"/>
      <c r="W149" s="44" t="s">
        <v>1605</v>
      </c>
      <c r="X149" s="48" t="s">
        <v>1606</v>
      </c>
      <c r="Y149" s="44" t="s">
        <v>1607</v>
      </c>
    </row>
    <row r="150" spans="1:25" x14ac:dyDescent="0.25">
      <c r="A150" s="44" t="s">
        <v>1460</v>
      </c>
      <c r="B150" s="44" t="s">
        <v>225</v>
      </c>
      <c r="C150" s="44" t="s">
        <v>1608</v>
      </c>
      <c r="D150" s="44" t="s">
        <v>145</v>
      </c>
      <c r="E150" s="44" t="s">
        <v>137</v>
      </c>
      <c r="F150" s="44">
        <v>17</v>
      </c>
      <c r="G150" s="44" t="s">
        <v>111</v>
      </c>
      <c r="H150" s="44" t="s">
        <v>121</v>
      </c>
      <c r="I150" s="44" t="s">
        <v>656</v>
      </c>
      <c r="J150" s="44">
        <v>4</v>
      </c>
      <c r="K150" s="44">
        <v>0</v>
      </c>
      <c r="L150" s="45"/>
      <c r="M150" s="44">
        <v>1735</v>
      </c>
      <c r="N150" s="46">
        <f t="shared" si="4"/>
        <v>2.3054755043227667E-3</v>
      </c>
      <c r="O150" s="47" t="str">
        <f t="shared" si="5"/>
        <v/>
      </c>
      <c r="P150" s="44">
        <v>47</v>
      </c>
      <c r="Q150" s="44">
        <v>3</v>
      </c>
      <c r="R150" s="44">
        <v>0</v>
      </c>
      <c r="S150" s="44" t="s">
        <v>1067</v>
      </c>
      <c r="T150" s="44" t="s">
        <v>1067</v>
      </c>
      <c r="U150" s="44"/>
      <c r="V150" s="44"/>
      <c r="W150" s="44" t="s">
        <v>1609</v>
      </c>
      <c r="X150" s="48" t="s">
        <v>1610</v>
      </c>
      <c r="Y150" s="44" t="s">
        <v>1611</v>
      </c>
    </row>
    <row r="151" spans="1:25" x14ac:dyDescent="0.25">
      <c r="A151" s="44" t="s">
        <v>1460</v>
      </c>
      <c r="B151" s="44" t="s">
        <v>225</v>
      </c>
      <c r="C151" s="44" t="s">
        <v>1278</v>
      </c>
      <c r="D151" s="44" t="s">
        <v>145</v>
      </c>
      <c r="E151" s="44" t="s">
        <v>132</v>
      </c>
      <c r="F151" s="44">
        <v>17</v>
      </c>
      <c r="G151" s="44" t="s">
        <v>111</v>
      </c>
      <c r="H151" s="44" t="s">
        <v>121</v>
      </c>
      <c r="I151" s="44" t="s">
        <v>650</v>
      </c>
      <c r="J151" s="44">
        <v>2</v>
      </c>
      <c r="K151" s="44">
        <v>0</v>
      </c>
      <c r="L151" s="45"/>
      <c r="M151" s="44">
        <v>1735</v>
      </c>
      <c r="N151" s="46">
        <f t="shared" si="4"/>
        <v>1.1527377521613833E-3</v>
      </c>
      <c r="O151" s="47" t="str">
        <f t="shared" si="5"/>
        <v/>
      </c>
      <c r="P151" s="44">
        <v>58</v>
      </c>
      <c r="Q151" s="44">
        <v>3</v>
      </c>
      <c r="R151" s="44">
        <v>1</v>
      </c>
      <c r="S151" s="44" t="s">
        <v>1068</v>
      </c>
      <c r="T151" s="44" t="s">
        <v>1067</v>
      </c>
      <c r="U151" s="44"/>
      <c r="V151" s="44"/>
      <c r="W151" s="44" t="s">
        <v>1612</v>
      </c>
      <c r="X151" s="48" t="s">
        <v>1613</v>
      </c>
      <c r="Y151" s="44" t="s">
        <v>1614</v>
      </c>
    </row>
    <row r="152" spans="1:25" x14ac:dyDescent="0.25">
      <c r="A152" s="44" t="s">
        <v>1460</v>
      </c>
      <c r="B152" s="44" t="s">
        <v>225</v>
      </c>
      <c r="C152" s="44" t="s">
        <v>1615</v>
      </c>
      <c r="D152" s="44" t="s">
        <v>145</v>
      </c>
      <c r="E152" s="44" t="s">
        <v>126</v>
      </c>
      <c r="F152" s="44">
        <v>17</v>
      </c>
      <c r="G152" s="44" t="s">
        <v>111</v>
      </c>
      <c r="H152" s="44" t="s">
        <v>119</v>
      </c>
      <c r="I152" s="44" t="s">
        <v>656</v>
      </c>
      <c r="J152" s="44">
        <v>4</v>
      </c>
      <c r="K152" s="44">
        <v>0</v>
      </c>
      <c r="L152" s="45"/>
      <c r="M152" s="44">
        <v>1735</v>
      </c>
      <c r="N152" s="46">
        <f t="shared" si="4"/>
        <v>2.3054755043227667E-3</v>
      </c>
      <c r="O152" s="47" t="str">
        <f t="shared" si="5"/>
        <v/>
      </c>
      <c r="P152" s="44">
        <v>50</v>
      </c>
      <c r="Q152" s="44">
        <v>3</v>
      </c>
      <c r="R152" s="44">
        <v>1</v>
      </c>
      <c r="S152" s="44" t="s">
        <v>1067</v>
      </c>
      <c r="T152" s="44" t="s">
        <v>1067</v>
      </c>
      <c r="U152" s="44"/>
      <c r="V152" s="44"/>
      <c r="W152" s="44" t="s">
        <v>1616</v>
      </c>
      <c r="X152" s="48" t="s">
        <v>1617</v>
      </c>
      <c r="Y152" s="44" t="s">
        <v>1618</v>
      </c>
    </row>
    <row r="153" spans="1:25" x14ac:dyDescent="0.25">
      <c r="A153" s="44" t="s">
        <v>1460</v>
      </c>
      <c r="B153" s="44" t="s">
        <v>225</v>
      </c>
      <c r="C153" s="44" t="s">
        <v>164</v>
      </c>
      <c r="D153" s="44" t="s">
        <v>145</v>
      </c>
      <c r="E153" s="44" t="s">
        <v>136</v>
      </c>
      <c r="F153" s="44">
        <v>17</v>
      </c>
      <c r="G153" s="44" t="s">
        <v>109</v>
      </c>
      <c r="H153" s="44" t="s">
        <v>121</v>
      </c>
      <c r="I153" s="44" t="s">
        <v>656</v>
      </c>
      <c r="J153" s="44">
        <v>8</v>
      </c>
      <c r="K153" s="44">
        <v>0</v>
      </c>
      <c r="L153" s="45"/>
      <c r="M153" s="44">
        <v>1735</v>
      </c>
      <c r="N153" s="46">
        <f t="shared" si="4"/>
        <v>4.6109510086455334E-3</v>
      </c>
      <c r="O153" s="47" t="str">
        <f t="shared" si="5"/>
        <v/>
      </c>
      <c r="P153" s="44">
        <v>59</v>
      </c>
      <c r="Q153" s="44">
        <v>3</v>
      </c>
      <c r="R153" s="44">
        <v>0</v>
      </c>
      <c r="S153" s="44" t="s">
        <v>1067</v>
      </c>
      <c r="T153" s="44" t="s">
        <v>1068</v>
      </c>
      <c r="U153" s="44"/>
      <c r="V153" s="44"/>
      <c r="W153" s="44" t="s">
        <v>1619</v>
      </c>
      <c r="X153" s="48" t="s">
        <v>1620</v>
      </c>
      <c r="Y153" s="44" t="s">
        <v>1621</v>
      </c>
    </row>
    <row r="154" spans="1:25" x14ac:dyDescent="0.25">
      <c r="A154" s="44" t="s">
        <v>1460</v>
      </c>
      <c r="B154" s="44" t="s">
        <v>225</v>
      </c>
      <c r="C154" s="44" t="s">
        <v>1293</v>
      </c>
      <c r="D154" s="44" t="s">
        <v>145</v>
      </c>
      <c r="E154" s="44" t="s">
        <v>134</v>
      </c>
      <c r="F154" s="44">
        <v>17</v>
      </c>
      <c r="G154" s="44" t="s">
        <v>109</v>
      </c>
      <c r="H154" s="44" t="s">
        <v>121</v>
      </c>
      <c r="I154" s="44" t="s">
        <v>650</v>
      </c>
      <c r="J154" s="44">
        <v>8</v>
      </c>
      <c r="K154" s="44">
        <v>0</v>
      </c>
      <c r="L154" s="45"/>
      <c r="M154" s="44">
        <v>1735</v>
      </c>
      <c r="N154" s="46">
        <f t="shared" si="4"/>
        <v>4.6109510086455334E-3</v>
      </c>
      <c r="O154" s="47" t="str">
        <f t="shared" si="5"/>
        <v/>
      </c>
      <c r="P154" s="44">
        <v>68</v>
      </c>
      <c r="Q154" s="44">
        <v>3</v>
      </c>
      <c r="R154" s="44">
        <v>1</v>
      </c>
      <c r="S154" s="44" t="s">
        <v>1068</v>
      </c>
      <c r="T154" s="44" t="s">
        <v>1067</v>
      </c>
      <c r="U154" s="44"/>
      <c r="V154" s="44"/>
      <c r="W154" s="44" t="s">
        <v>1622</v>
      </c>
      <c r="X154" s="48" t="s">
        <v>1623</v>
      </c>
      <c r="Y154" s="44" t="s">
        <v>1624</v>
      </c>
    </row>
    <row r="155" spans="1:25" x14ac:dyDescent="0.25">
      <c r="A155" s="44" t="s">
        <v>1460</v>
      </c>
      <c r="B155" s="44" t="s">
        <v>225</v>
      </c>
      <c r="C155" s="44" t="s">
        <v>161</v>
      </c>
      <c r="D155" s="44" t="s">
        <v>145</v>
      </c>
      <c r="E155" s="44" t="s">
        <v>132</v>
      </c>
      <c r="F155" s="44">
        <v>17</v>
      </c>
      <c r="G155" s="44" t="s">
        <v>109</v>
      </c>
      <c r="H155" s="44" t="s">
        <v>121</v>
      </c>
      <c r="I155" s="44" t="s">
        <v>656</v>
      </c>
      <c r="J155" s="44">
        <v>6</v>
      </c>
      <c r="K155" s="44">
        <v>0</v>
      </c>
      <c r="L155" s="45"/>
      <c r="M155" s="44">
        <v>1735</v>
      </c>
      <c r="N155" s="46">
        <f t="shared" si="4"/>
        <v>3.4582132564841498E-3</v>
      </c>
      <c r="O155" s="47" t="str">
        <f t="shared" si="5"/>
        <v/>
      </c>
      <c r="P155" s="44">
        <v>43</v>
      </c>
      <c r="Q155" s="44">
        <v>3</v>
      </c>
      <c r="R155" s="44">
        <v>0</v>
      </c>
      <c r="S155" s="44" t="s">
        <v>1068</v>
      </c>
      <c r="T155" s="44" t="s">
        <v>1067</v>
      </c>
      <c r="U155" s="44"/>
      <c r="V155" s="44"/>
      <c r="W155" s="44" t="s">
        <v>1625</v>
      </c>
      <c r="X155" s="48" t="s">
        <v>1626</v>
      </c>
      <c r="Y155" s="44" t="s">
        <v>1627</v>
      </c>
    </row>
    <row r="156" spans="1:25" x14ac:dyDescent="0.25">
      <c r="A156" s="44" t="s">
        <v>1460</v>
      </c>
      <c r="B156" s="44" t="s">
        <v>225</v>
      </c>
      <c r="C156" s="44" t="s">
        <v>1628</v>
      </c>
      <c r="D156" s="44" t="s">
        <v>145</v>
      </c>
      <c r="E156" s="44" t="s">
        <v>128</v>
      </c>
      <c r="F156" s="44">
        <v>17</v>
      </c>
      <c r="G156" s="44" t="s">
        <v>111</v>
      </c>
      <c r="H156" s="44" t="s">
        <v>120</v>
      </c>
      <c r="I156" s="44" t="s">
        <v>656</v>
      </c>
      <c r="J156" s="44">
        <v>2</v>
      </c>
      <c r="K156" s="44">
        <v>0</v>
      </c>
      <c r="L156" s="45"/>
      <c r="M156" s="44">
        <v>1735</v>
      </c>
      <c r="N156" s="46">
        <f t="shared" si="4"/>
        <v>1.1527377521613833E-3</v>
      </c>
      <c r="O156" s="47" t="str">
        <f t="shared" si="5"/>
        <v/>
      </c>
      <c r="P156" s="44">
        <v>55</v>
      </c>
      <c r="Q156" s="44">
        <v>3</v>
      </c>
      <c r="R156" s="44">
        <v>0</v>
      </c>
      <c r="S156" s="44" t="s">
        <v>1067</v>
      </c>
      <c r="T156" s="44" t="s">
        <v>1068</v>
      </c>
      <c r="U156" s="44"/>
      <c r="V156" s="44"/>
      <c r="W156" s="44" t="s">
        <v>1629</v>
      </c>
      <c r="X156" s="48" t="s">
        <v>1630</v>
      </c>
      <c r="Y156" s="44" t="s">
        <v>1631</v>
      </c>
    </row>
    <row r="157" spans="1:25" x14ac:dyDescent="0.25">
      <c r="A157" s="44" t="s">
        <v>1460</v>
      </c>
      <c r="B157" s="44" t="s">
        <v>225</v>
      </c>
      <c r="C157" s="44" t="s">
        <v>1632</v>
      </c>
      <c r="D157" s="44" t="s">
        <v>145</v>
      </c>
      <c r="E157" s="44" t="s">
        <v>132</v>
      </c>
      <c r="F157" s="44">
        <v>17</v>
      </c>
      <c r="G157" s="44" t="s">
        <v>111</v>
      </c>
      <c r="H157" s="44" t="s">
        <v>120</v>
      </c>
      <c r="I157" s="44" t="s">
        <v>656</v>
      </c>
      <c r="J157" s="44">
        <v>1</v>
      </c>
      <c r="K157" s="44">
        <v>0</v>
      </c>
      <c r="L157" s="45"/>
      <c r="M157" s="44">
        <v>1735</v>
      </c>
      <c r="N157" s="46">
        <f t="shared" si="4"/>
        <v>5.7636887608069167E-4</v>
      </c>
      <c r="O157" s="47" t="str">
        <f t="shared" si="5"/>
        <v/>
      </c>
      <c r="P157" s="44">
        <v>48</v>
      </c>
      <c r="Q157" s="44">
        <v>3</v>
      </c>
      <c r="R157" s="44">
        <v>0</v>
      </c>
      <c r="S157" s="44" t="s">
        <v>1067</v>
      </c>
      <c r="T157" s="44" t="s">
        <v>1068</v>
      </c>
      <c r="U157" s="44"/>
      <c r="V157" s="44"/>
      <c r="W157" s="44" t="s">
        <v>1633</v>
      </c>
      <c r="X157" s="48" t="s">
        <v>1634</v>
      </c>
      <c r="Y157" s="44" t="s">
        <v>1635</v>
      </c>
    </row>
    <row r="158" spans="1:25" x14ac:dyDescent="0.25">
      <c r="A158" s="44" t="s">
        <v>1460</v>
      </c>
      <c r="B158" s="44" t="s">
        <v>225</v>
      </c>
      <c r="C158" s="44" t="s">
        <v>1636</v>
      </c>
      <c r="D158" s="44" t="s">
        <v>144</v>
      </c>
      <c r="E158" s="44" t="s">
        <v>130</v>
      </c>
      <c r="F158" s="44">
        <v>17</v>
      </c>
      <c r="G158" s="44" t="s">
        <v>111</v>
      </c>
      <c r="H158" s="44" t="s">
        <v>120</v>
      </c>
      <c r="I158" s="44" t="s">
        <v>650</v>
      </c>
      <c r="J158" s="44">
        <v>3</v>
      </c>
      <c r="K158" s="44">
        <v>0</v>
      </c>
      <c r="L158" s="45"/>
      <c r="M158" s="44">
        <v>1735</v>
      </c>
      <c r="N158" s="46">
        <f t="shared" si="4"/>
        <v>1.7291066282420749E-3</v>
      </c>
      <c r="O158" s="47" t="str">
        <f t="shared" si="5"/>
        <v/>
      </c>
      <c r="P158" s="44">
        <v>54</v>
      </c>
      <c r="Q158" s="44">
        <v>2</v>
      </c>
      <c r="R158" s="44">
        <v>0</v>
      </c>
      <c r="S158" s="44" t="s">
        <v>1067</v>
      </c>
      <c r="T158" s="44" t="s">
        <v>1067</v>
      </c>
      <c r="U158" s="44"/>
      <c r="V158" s="44"/>
      <c r="W158" s="44" t="s">
        <v>1637</v>
      </c>
      <c r="X158" s="48" t="s">
        <v>1638</v>
      </c>
      <c r="Y158" s="44" t="s">
        <v>1639</v>
      </c>
    </row>
    <row r="159" spans="1:25" x14ac:dyDescent="0.25">
      <c r="A159" s="44" t="s">
        <v>1460</v>
      </c>
      <c r="B159" s="44" t="s">
        <v>225</v>
      </c>
      <c r="C159" s="44" t="s">
        <v>1636</v>
      </c>
      <c r="D159" s="44" t="s">
        <v>144</v>
      </c>
      <c r="E159" s="44" t="s">
        <v>130</v>
      </c>
      <c r="F159" s="44">
        <v>6</v>
      </c>
      <c r="G159" s="44" t="s">
        <v>111</v>
      </c>
      <c r="H159" s="44" t="s">
        <v>116</v>
      </c>
      <c r="I159" s="44" t="s">
        <v>629</v>
      </c>
      <c r="J159" s="44">
        <v>9</v>
      </c>
      <c r="K159" s="44">
        <v>0</v>
      </c>
      <c r="L159" s="45"/>
      <c r="M159" s="44">
        <v>1735</v>
      </c>
      <c r="N159" s="46">
        <f t="shared" si="4"/>
        <v>5.1873198847262247E-3</v>
      </c>
      <c r="O159" s="47" t="str">
        <f t="shared" si="5"/>
        <v/>
      </c>
      <c r="P159" s="44">
        <v>50</v>
      </c>
      <c r="Q159" s="44">
        <v>5</v>
      </c>
      <c r="R159" s="44">
        <v>2</v>
      </c>
      <c r="S159" s="44" t="s">
        <v>1067</v>
      </c>
      <c r="T159" s="44" t="s">
        <v>1068</v>
      </c>
      <c r="U159" s="44"/>
      <c r="V159" s="44"/>
      <c r="W159" s="44" t="s">
        <v>1640</v>
      </c>
      <c r="X159" s="48" t="s">
        <v>1641</v>
      </c>
      <c r="Y159" s="44" t="s">
        <v>1642</v>
      </c>
    </row>
    <row r="160" spans="1:25" x14ac:dyDescent="0.25">
      <c r="A160" s="44" t="s">
        <v>1460</v>
      </c>
      <c r="B160" s="44" t="s">
        <v>225</v>
      </c>
      <c r="C160" s="44" t="s">
        <v>1643</v>
      </c>
      <c r="D160" s="44" t="s">
        <v>144</v>
      </c>
      <c r="E160" s="44" t="s">
        <v>137</v>
      </c>
      <c r="F160" s="44">
        <v>17</v>
      </c>
      <c r="G160" s="44" t="s">
        <v>111</v>
      </c>
      <c r="H160" s="44" t="s">
        <v>120</v>
      </c>
      <c r="I160" s="44" t="s">
        <v>650</v>
      </c>
      <c r="J160" s="44">
        <v>2</v>
      </c>
      <c r="K160" s="44">
        <v>0</v>
      </c>
      <c r="L160" s="45"/>
      <c r="M160" s="44">
        <v>1735</v>
      </c>
      <c r="N160" s="46">
        <f t="shared" si="4"/>
        <v>1.1527377521613833E-3</v>
      </c>
      <c r="O160" s="47" t="str">
        <f t="shared" si="5"/>
        <v/>
      </c>
      <c r="P160" s="44">
        <v>58</v>
      </c>
      <c r="Q160" s="44">
        <v>3</v>
      </c>
      <c r="R160" s="44">
        <v>1</v>
      </c>
      <c r="S160" s="44" t="s">
        <v>1067</v>
      </c>
      <c r="T160" s="44" t="s">
        <v>1067</v>
      </c>
      <c r="U160" s="44"/>
      <c r="V160" s="44"/>
      <c r="W160" s="44" t="s">
        <v>1644</v>
      </c>
      <c r="X160" s="48" t="s">
        <v>1645</v>
      </c>
      <c r="Y160" s="44" t="s">
        <v>1646</v>
      </c>
    </row>
    <row r="161" spans="1:25" x14ac:dyDescent="0.25">
      <c r="A161" s="44" t="s">
        <v>1460</v>
      </c>
      <c r="B161" s="44" t="s">
        <v>225</v>
      </c>
      <c r="C161" s="44" t="s">
        <v>1317</v>
      </c>
      <c r="D161" s="44" t="s">
        <v>144</v>
      </c>
      <c r="E161" s="44" t="s">
        <v>132</v>
      </c>
      <c r="F161" s="44">
        <v>17</v>
      </c>
      <c r="G161" s="44" t="s">
        <v>109</v>
      </c>
      <c r="H161" s="44" t="s">
        <v>121</v>
      </c>
      <c r="I161" s="44" t="s">
        <v>650</v>
      </c>
      <c r="J161" s="44">
        <v>3</v>
      </c>
      <c r="K161" s="44">
        <v>0</v>
      </c>
      <c r="L161" s="45"/>
      <c r="M161" s="44">
        <v>1735</v>
      </c>
      <c r="N161" s="46">
        <f t="shared" si="4"/>
        <v>1.7291066282420749E-3</v>
      </c>
      <c r="O161" s="47" t="str">
        <f t="shared" si="5"/>
        <v/>
      </c>
      <c r="P161" s="44">
        <v>44</v>
      </c>
      <c r="Q161" s="44">
        <v>3</v>
      </c>
      <c r="R161" s="44">
        <v>1</v>
      </c>
      <c r="S161" s="44" t="s">
        <v>1067</v>
      </c>
      <c r="T161" s="44" t="s">
        <v>1067</v>
      </c>
      <c r="U161" s="44"/>
      <c r="V161" s="44"/>
      <c r="W161" s="44" t="s">
        <v>1647</v>
      </c>
      <c r="X161" s="48" t="s">
        <v>1648</v>
      </c>
      <c r="Y161" s="44" t="s">
        <v>1649</v>
      </c>
    </row>
    <row r="162" spans="1:25" x14ac:dyDescent="0.25">
      <c r="A162" s="44" t="s">
        <v>1460</v>
      </c>
      <c r="B162" s="44" t="s">
        <v>225</v>
      </c>
      <c r="C162" s="44" t="s">
        <v>1650</v>
      </c>
      <c r="D162" s="44" t="s">
        <v>144</v>
      </c>
      <c r="E162" s="44" t="s">
        <v>128</v>
      </c>
      <c r="F162" s="44">
        <v>17</v>
      </c>
      <c r="G162" s="44" t="s">
        <v>108</v>
      </c>
      <c r="H162" s="44" t="s">
        <v>118</v>
      </c>
      <c r="I162" s="44" t="s">
        <v>656</v>
      </c>
      <c r="J162" s="44">
        <v>9</v>
      </c>
      <c r="K162" s="44">
        <v>0</v>
      </c>
      <c r="L162" s="45">
        <v>313</v>
      </c>
      <c r="M162" s="44">
        <v>1735</v>
      </c>
      <c r="N162" s="46">
        <f t="shared" si="4"/>
        <v>5.1873198847262247E-3</v>
      </c>
      <c r="O162" s="47">
        <f t="shared" si="5"/>
        <v>0.18040345821325648</v>
      </c>
      <c r="P162" s="44">
        <v>39</v>
      </c>
      <c r="Q162" s="44">
        <v>2</v>
      </c>
      <c r="R162" s="44">
        <v>1</v>
      </c>
      <c r="S162" s="44" t="s">
        <v>1067</v>
      </c>
      <c r="T162" s="44" t="s">
        <v>1068</v>
      </c>
      <c r="U162" s="44"/>
      <c r="V162" s="44"/>
      <c r="W162" s="44" t="s">
        <v>1651</v>
      </c>
      <c r="X162" s="48" t="s">
        <v>1652</v>
      </c>
      <c r="Y162" s="44" t="s">
        <v>1653</v>
      </c>
    </row>
    <row r="163" spans="1:25" x14ac:dyDescent="0.25">
      <c r="A163" s="44" t="s">
        <v>1460</v>
      </c>
      <c r="B163" s="44" t="s">
        <v>225</v>
      </c>
      <c r="C163" s="44" t="s">
        <v>1654</v>
      </c>
      <c r="D163" s="44" t="s">
        <v>144</v>
      </c>
      <c r="E163" s="44" t="s">
        <v>136</v>
      </c>
      <c r="F163" s="44">
        <v>17</v>
      </c>
      <c r="G163" s="44" t="s">
        <v>111</v>
      </c>
      <c r="H163" s="44" t="s">
        <v>120</v>
      </c>
      <c r="I163" s="44" t="s">
        <v>656</v>
      </c>
      <c r="J163" s="44">
        <v>3</v>
      </c>
      <c r="K163" s="44">
        <v>0</v>
      </c>
      <c r="L163" s="45"/>
      <c r="M163" s="44">
        <v>1735</v>
      </c>
      <c r="N163" s="46">
        <f t="shared" si="4"/>
        <v>1.7291066282420749E-3</v>
      </c>
      <c r="O163" s="47" t="str">
        <f t="shared" si="5"/>
        <v/>
      </c>
      <c r="P163" s="44">
        <v>67</v>
      </c>
      <c r="Q163" s="44">
        <v>3</v>
      </c>
      <c r="R163" s="44">
        <v>1</v>
      </c>
      <c r="S163" s="44" t="s">
        <v>1067</v>
      </c>
      <c r="T163" s="44" t="s">
        <v>1068</v>
      </c>
      <c r="U163" s="44"/>
      <c r="V163" s="44"/>
      <c r="W163" s="44" t="s">
        <v>1655</v>
      </c>
      <c r="X163" s="48" t="s">
        <v>1656</v>
      </c>
      <c r="Y163" s="44" t="s">
        <v>1657</v>
      </c>
    </row>
    <row r="164" spans="1:25" x14ac:dyDescent="0.25">
      <c r="A164" s="44" t="s">
        <v>1460</v>
      </c>
      <c r="B164" s="44" t="s">
        <v>225</v>
      </c>
      <c r="C164" s="44" t="s">
        <v>1658</v>
      </c>
      <c r="D164" s="44" t="s">
        <v>144</v>
      </c>
      <c r="E164" s="44" t="s">
        <v>132</v>
      </c>
      <c r="F164" s="44">
        <v>17</v>
      </c>
      <c r="G164" s="44" t="s">
        <v>111</v>
      </c>
      <c r="H164" s="44" t="s">
        <v>119</v>
      </c>
      <c r="I164" s="44" t="s">
        <v>656</v>
      </c>
      <c r="J164" s="44">
        <v>3</v>
      </c>
      <c r="K164" s="44">
        <v>0</v>
      </c>
      <c r="L164" s="45"/>
      <c r="M164" s="44">
        <v>1735</v>
      </c>
      <c r="N164" s="46">
        <f t="shared" si="4"/>
        <v>1.7291066282420749E-3</v>
      </c>
      <c r="O164" s="47" t="str">
        <f t="shared" si="5"/>
        <v/>
      </c>
      <c r="P164" s="44">
        <v>70</v>
      </c>
      <c r="Q164" s="44">
        <v>2</v>
      </c>
      <c r="R164" s="44">
        <v>2</v>
      </c>
      <c r="S164" s="44" t="s">
        <v>1067</v>
      </c>
      <c r="T164" s="44" t="s">
        <v>1068</v>
      </c>
      <c r="U164" s="44"/>
      <c r="V164" s="44"/>
      <c r="W164" s="44" t="s">
        <v>1659</v>
      </c>
      <c r="X164" s="48" t="s">
        <v>1660</v>
      </c>
      <c r="Y164" s="44" t="s">
        <v>1661</v>
      </c>
    </row>
    <row r="165" spans="1:25" x14ac:dyDescent="0.25">
      <c r="A165" s="44" t="s">
        <v>1460</v>
      </c>
      <c r="B165" s="44" t="s">
        <v>225</v>
      </c>
      <c r="C165" s="44" t="s">
        <v>1334</v>
      </c>
      <c r="D165" s="44" t="s">
        <v>144</v>
      </c>
      <c r="E165" s="44" t="s">
        <v>128</v>
      </c>
      <c r="F165" s="44">
        <v>17</v>
      </c>
      <c r="G165" s="44" t="s">
        <v>109</v>
      </c>
      <c r="H165" s="44" t="s">
        <v>121</v>
      </c>
      <c r="I165" s="44" t="s">
        <v>650</v>
      </c>
      <c r="J165" s="44">
        <v>3</v>
      </c>
      <c r="K165" s="44">
        <v>0</v>
      </c>
      <c r="L165" s="45"/>
      <c r="M165" s="44">
        <v>1735</v>
      </c>
      <c r="N165" s="46">
        <f t="shared" si="4"/>
        <v>1.7291066282420749E-3</v>
      </c>
      <c r="O165" s="47" t="str">
        <f t="shared" si="5"/>
        <v/>
      </c>
      <c r="P165" s="44">
        <v>64</v>
      </c>
      <c r="Q165" s="44">
        <v>0</v>
      </c>
      <c r="R165" s="44">
        <v>1</v>
      </c>
      <c r="S165" s="44" t="s">
        <v>1067</v>
      </c>
      <c r="T165" s="44" t="s">
        <v>1067</v>
      </c>
      <c r="U165" s="44"/>
      <c r="V165" s="44"/>
      <c r="W165" s="44" t="s">
        <v>1662</v>
      </c>
      <c r="X165" s="48" t="s">
        <v>1663</v>
      </c>
      <c r="Y165" s="44" t="s">
        <v>1664</v>
      </c>
    </row>
    <row r="166" spans="1:25" x14ac:dyDescent="0.25">
      <c r="A166" s="44" t="s">
        <v>1460</v>
      </c>
      <c r="B166" s="44" t="s">
        <v>225</v>
      </c>
      <c r="C166" s="44" t="s">
        <v>1665</v>
      </c>
      <c r="D166" s="44" t="s">
        <v>144</v>
      </c>
      <c r="E166" s="44" t="s">
        <v>136</v>
      </c>
      <c r="F166" s="44">
        <v>17</v>
      </c>
      <c r="G166" s="44" t="s">
        <v>111</v>
      </c>
      <c r="H166" s="44" t="s">
        <v>122</v>
      </c>
      <c r="I166" s="44" t="s">
        <v>656</v>
      </c>
      <c r="J166" s="44">
        <v>3</v>
      </c>
      <c r="K166" s="44">
        <v>0</v>
      </c>
      <c r="L166" s="45"/>
      <c r="M166" s="44">
        <v>1735</v>
      </c>
      <c r="N166" s="46">
        <f t="shared" si="4"/>
        <v>1.7291066282420749E-3</v>
      </c>
      <c r="O166" s="47" t="str">
        <f t="shared" si="5"/>
        <v/>
      </c>
      <c r="P166" s="44">
        <v>63</v>
      </c>
      <c r="Q166" s="44">
        <v>3</v>
      </c>
      <c r="R166" s="44">
        <v>1</v>
      </c>
      <c r="S166" s="44" t="s">
        <v>1067</v>
      </c>
      <c r="T166" s="44" t="s">
        <v>1068</v>
      </c>
      <c r="U166" s="44"/>
      <c r="V166" s="44"/>
      <c r="W166" s="44" t="s">
        <v>1666</v>
      </c>
      <c r="X166" s="48" t="s">
        <v>1667</v>
      </c>
      <c r="Y166" s="44" t="s">
        <v>1668</v>
      </c>
    </row>
    <row r="167" spans="1:25" x14ac:dyDescent="0.25">
      <c r="A167" s="44" t="s">
        <v>1460</v>
      </c>
      <c r="B167" s="44" t="s">
        <v>225</v>
      </c>
      <c r="C167" s="44" t="s">
        <v>1669</v>
      </c>
      <c r="D167" s="44" t="s">
        <v>144</v>
      </c>
      <c r="E167" s="44" t="s">
        <v>132</v>
      </c>
      <c r="F167" s="44">
        <v>17</v>
      </c>
      <c r="G167" s="44" t="s">
        <v>109</v>
      </c>
      <c r="H167" s="44" t="s">
        <v>116</v>
      </c>
      <c r="I167" s="44" t="s">
        <v>656</v>
      </c>
      <c r="J167" s="44">
        <v>4</v>
      </c>
      <c r="K167" s="44">
        <v>0</v>
      </c>
      <c r="L167" s="45"/>
      <c r="M167" s="44">
        <v>1735</v>
      </c>
      <c r="N167" s="46">
        <f t="shared" si="4"/>
        <v>2.3054755043227667E-3</v>
      </c>
      <c r="O167" s="47" t="str">
        <f t="shared" si="5"/>
        <v/>
      </c>
      <c r="P167" s="44">
        <v>54</v>
      </c>
      <c r="Q167" s="44">
        <v>4</v>
      </c>
      <c r="R167" s="44">
        <v>1</v>
      </c>
      <c r="S167" s="44" t="s">
        <v>1067</v>
      </c>
      <c r="T167" s="44" t="s">
        <v>1068</v>
      </c>
      <c r="U167" s="44"/>
      <c r="V167" s="44"/>
      <c r="W167" s="44" t="s">
        <v>1670</v>
      </c>
      <c r="X167" s="48" t="s">
        <v>1671</v>
      </c>
      <c r="Y167" s="44" t="s">
        <v>1672</v>
      </c>
    </row>
    <row r="168" spans="1:25" x14ac:dyDescent="0.25">
      <c r="A168" s="44" t="s">
        <v>1460</v>
      </c>
      <c r="B168" s="44" t="s">
        <v>225</v>
      </c>
      <c r="C168" s="44" t="s">
        <v>1673</v>
      </c>
      <c r="D168" s="44" t="s">
        <v>144</v>
      </c>
      <c r="E168" s="44" t="s">
        <v>130</v>
      </c>
      <c r="F168" s="44">
        <v>22</v>
      </c>
      <c r="G168" s="44" t="s">
        <v>109</v>
      </c>
      <c r="H168" s="44" t="s">
        <v>121</v>
      </c>
      <c r="I168" s="44" t="s">
        <v>650</v>
      </c>
      <c r="J168" s="44">
        <v>5</v>
      </c>
      <c r="K168" s="44">
        <v>0</v>
      </c>
      <c r="L168" s="45"/>
      <c r="M168" s="44">
        <v>1735</v>
      </c>
      <c r="N168" s="46">
        <f t="shared" si="4"/>
        <v>2.881844380403458E-3</v>
      </c>
      <c r="O168" s="47" t="str">
        <f t="shared" si="5"/>
        <v/>
      </c>
      <c r="P168" s="44">
        <v>52</v>
      </c>
      <c r="Q168" s="44">
        <v>3</v>
      </c>
      <c r="R168" s="44">
        <v>1</v>
      </c>
      <c r="S168" s="44" t="s">
        <v>1068</v>
      </c>
      <c r="T168" s="44" t="s">
        <v>1067</v>
      </c>
      <c r="U168" s="44"/>
      <c r="V168" s="44"/>
      <c r="W168" s="44" t="s">
        <v>1674</v>
      </c>
      <c r="X168" s="48" t="s">
        <v>1675</v>
      </c>
      <c r="Y168" s="44" t="s">
        <v>1676</v>
      </c>
    </row>
    <row r="169" spans="1:25" x14ac:dyDescent="0.25">
      <c r="A169" s="44" t="s">
        <v>1460</v>
      </c>
      <c r="B169" s="44" t="s">
        <v>225</v>
      </c>
      <c r="C169" s="44" t="s">
        <v>1677</v>
      </c>
      <c r="D169" s="44" t="s">
        <v>144</v>
      </c>
      <c r="E169" s="44" t="s">
        <v>136</v>
      </c>
      <c r="F169" s="44">
        <v>18</v>
      </c>
      <c r="G169" s="44" t="s">
        <v>109</v>
      </c>
      <c r="H169" s="44" t="s">
        <v>120</v>
      </c>
      <c r="I169" s="44" t="s">
        <v>656</v>
      </c>
      <c r="J169" s="44">
        <v>3</v>
      </c>
      <c r="K169" s="44">
        <v>0</v>
      </c>
      <c r="L169" s="45"/>
      <c r="M169" s="44">
        <v>1735</v>
      </c>
      <c r="N169" s="46">
        <f t="shared" si="4"/>
        <v>1.7291066282420749E-3</v>
      </c>
      <c r="O169" s="47" t="str">
        <f t="shared" si="5"/>
        <v/>
      </c>
      <c r="P169" s="44">
        <v>47</v>
      </c>
      <c r="Q169" s="44">
        <v>3</v>
      </c>
      <c r="R169" s="44">
        <v>2</v>
      </c>
      <c r="S169" s="44" t="s">
        <v>1068</v>
      </c>
      <c r="T169" s="44" t="s">
        <v>1068</v>
      </c>
      <c r="U169" s="44"/>
      <c r="V169" s="44"/>
      <c r="W169" s="44" t="s">
        <v>1678</v>
      </c>
      <c r="X169" s="48" t="s">
        <v>1679</v>
      </c>
      <c r="Y169" s="44" t="s">
        <v>1680</v>
      </c>
    </row>
    <row r="170" spans="1:25" x14ac:dyDescent="0.25">
      <c r="A170" s="44" t="s">
        <v>1460</v>
      </c>
      <c r="B170" s="44" t="s">
        <v>225</v>
      </c>
      <c r="C170" s="44" t="s">
        <v>1681</v>
      </c>
      <c r="D170" s="44" t="s">
        <v>143</v>
      </c>
      <c r="E170" s="44" t="s">
        <v>132</v>
      </c>
      <c r="F170" s="44">
        <v>16</v>
      </c>
      <c r="G170" s="44" t="s">
        <v>111</v>
      </c>
      <c r="H170" s="44" t="s">
        <v>121</v>
      </c>
      <c r="I170" s="44" t="s">
        <v>656</v>
      </c>
      <c r="J170" s="44">
        <v>3</v>
      </c>
      <c r="K170" s="44">
        <v>0</v>
      </c>
      <c r="L170" s="45"/>
      <c r="M170" s="44">
        <v>1735</v>
      </c>
      <c r="N170" s="46">
        <f t="shared" si="4"/>
        <v>1.7291066282420749E-3</v>
      </c>
      <c r="O170" s="47" t="str">
        <f t="shared" si="5"/>
        <v/>
      </c>
      <c r="P170" s="44">
        <v>57</v>
      </c>
      <c r="Q170" s="44">
        <v>2</v>
      </c>
      <c r="R170" s="44">
        <v>0</v>
      </c>
      <c r="S170" s="44" t="s">
        <v>1067</v>
      </c>
      <c r="T170" s="44" t="s">
        <v>1068</v>
      </c>
      <c r="U170" s="44"/>
      <c r="V170" s="44"/>
      <c r="W170" s="44" t="s">
        <v>1682</v>
      </c>
      <c r="X170" s="48" t="s">
        <v>1683</v>
      </c>
      <c r="Y170" s="44" t="s">
        <v>1684</v>
      </c>
    </row>
    <row r="171" spans="1:25" x14ac:dyDescent="0.25">
      <c r="A171" s="44" t="s">
        <v>1460</v>
      </c>
      <c r="B171" s="44" t="s">
        <v>225</v>
      </c>
      <c r="C171" s="44" t="s">
        <v>1338</v>
      </c>
      <c r="D171" s="44" t="s">
        <v>143</v>
      </c>
      <c r="E171" s="44" t="s">
        <v>126</v>
      </c>
      <c r="F171" s="44">
        <v>17</v>
      </c>
      <c r="G171" s="44" t="s">
        <v>111</v>
      </c>
      <c r="H171" s="44" t="s">
        <v>121</v>
      </c>
      <c r="I171" s="44" t="s">
        <v>656</v>
      </c>
      <c r="J171" s="44">
        <v>3</v>
      </c>
      <c r="K171" s="44">
        <v>0</v>
      </c>
      <c r="L171" s="45"/>
      <c r="M171" s="44">
        <v>1735</v>
      </c>
      <c r="N171" s="46">
        <f t="shared" si="4"/>
        <v>1.7291066282420749E-3</v>
      </c>
      <c r="O171" s="47" t="str">
        <f t="shared" si="5"/>
        <v/>
      </c>
      <c r="P171" s="44">
        <v>89</v>
      </c>
      <c r="Q171" s="44">
        <v>3</v>
      </c>
      <c r="R171" s="44">
        <v>1</v>
      </c>
      <c r="S171" s="44" t="s">
        <v>1067</v>
      </c>
      <c r="T171" s="44" t="s">
        <v>1068</v>
      </c>
      <c r="U171" s="44"/>
      <c r="V171" s="44"/>
      <c r="W171" s="44" t="s">
        <v>1685</v>
      </c>
      <c r="X171" s="48" t="s">
        <v>1686</v>
      </c>
      <c r="Y171" s="44" t="s">
        <v>1687</v>
      </c>
    </row>
    <row r="172" spans="1:25" x14ac:dyDescent="0.25">
      <c r="A172" s="44" t="s">
        <v>1460</v>
      </c>
      <c r="B172" s="44" t="s">
        <v>225</v>
      </c>
      <c r="C172" s="44" t="s">
        <v>1688</v>
      </c>
      <c r="D172" s="44" t="s">
        <v>143</v>
      </c>
      <c r="E172" s="44" t="s">
        <v>134</v>
      </c>
      <c r="F172" s="44">
        <v>14</v>
      </c>
      <c r="G172" s="44" t="s">
        <v>108</v>
      </c>
      <c r="H172" s="44" t="s">
        <v>119</v>
      </c>
      <c r="I172" s="44" t="s">
        <v>638</v>
      </c>
      <c r="J172" s="44">
        <v>15</v>
      </c>
      <c r="K172" s="44">
        <v>0</v>
      </c>
      <c r="L172" s="45">
        <v>962</v>
      </c>
      <c r="M172" s="44">
        <v>1735</v>
      </c>
      <c r="N172" s="46">
        <f t="shared" si="4"/>
        <v>8.6455331412103754E-3</v>
      </c>
      <c r="O172" s="47">
        <f t="shared" si="5"/>
        <v>0.55446685878962532</v>
      </c>
      <c r="P172" s="44">
        <v>49</v>
      </c>
      <c r="Q172" s="44">
        <v>3</v>
      </c>
      <c r="R172" s="44">
        <v>2</v>
      </c>
      <c r="S172" s="44" t="s">
        <v>1068</v>
      </c>
      <c r="T172" s="44" t="s">
        <v>1068</v>
      </c>
      <c r="U172" s="44"/>
      <c r="V172" s="44"/>
      <c r="W172" s="44" t="s">
        <v>300</v>
      </c>
      <c r="X172" s="48" t="s">
        <v>1689</v>
      </c>
      <c r="Y172" s="44" t="s">
        <v>1690</v>
      </c>
    </row>
    <row r="173" spans="1:25" x14ac:dyDescent="0.25">
      <c r="A173" s="44" t="s">
        <v>1460</v>
      </c>
      <c r="B173" s="44" t="s">
        <v>225</v>
      </c>
      <c r="C173" s="44" t="s">
        <v>1691</v>
      </c>
      <c r="D173" s="44" t="s">
        <v>143</v>
      </c>
      <c r="E173" s="44" t="s">
        <v>132</v>
      </c>
      <c r="F173" s="44">
        <v>18</v>
      </c>
      <c r="G173" s="44" t="s">
        <v>109</v>
      </c>
      <c r="H173" s="44" t="s">
        <v>118</v>
      </c>
      <c r="I173" s="44" t="s">
        <v>656</v>
      </c>
      <c r="J173" s="44">
        <v>5</v>
      </c>
      <c r="K173" s="44">
        <v>0</v>
      </c>
      <c r="L173" s="45"/>
      <c r="M173" s="44">
        <v>1735</v>
      </c>
      <c r="N173" s="46">
        <f t="shared" si="4"/>
        <v>2.881844380403458E-3</v>
      </c>
      <c r="O173" s="47" t="str">
        <f t="shared" si="5"/>
        <v/>
      </c>
      <c r="P173" s="44">
        <v>59</v>
      </c>
      <c r="Q173" s="44">
        <v>3</v>
      </c>
      <c r="R173" s="44">
        <v>1</v>
      </c>
      <c r="S173" s="44" t="s">
        <v>1068</v>
      </c>
      <c r="T173" s="44" t="s">
        <v>1068</v>
      </c>
      <c r="U173" s="44"/>
      <c r="V173" s="44"/>
      <c r="W173" s="44" t="s">
        <v>1692</v>
      </c>
      <c r="X173" s="48" t="s">
        <v>1693</v>
      </c>
      <c r="Y173" s="44" t="s">
        <v>1694</v>
      </c>
    </row>
    <row r="174" spans="1:25" x14ac:dyDescent="0.25">
      <c r="A174" s="44" t="s">
        <v>1460</v>
      </c>
      <c r="B174" s="44" t="s">
        <v>225</v>
      </c>
      <c r="C174" s="44" t="s">
        <v>1695</v>
      </c>
      <c r="D174" s="44" t="s">
        <v>143</v>
      </c>
      <c r="E174" s="44" t="s">
        <v>128</v>
      </c>
      <c r="F174" s="44">
        <v>18</v>
      </c>
      <c r="G174" s="44" t="s">
        <v>111</v>
      </c>
      <c r="H174" s="44" t="s">
        <v>121</v>
      </c>
      <c r="I174" s="44" t="s">
        <v>656</v>
      </c>
      <c r="J174" s="44">
        <v>4</v>
      </c>
      <c r="K174" s="44">
        <v>0</v>
      </c>
      <c r="L174" s="45"/>
      <c r="M174" s="44">
        <v>1735</v>
      </c>
      <c r="N174" s="46">
        <f t="shared" si="4"/>
        <v>2.3054755043227667E-3</v>
      </c>
      <c r="O174" s="47" t="str">
        <f t="shared" si="5"/>
        <v/>
      </c>
      <c r="P174" s="44">
        <v>62</v>
      </c>
      <c r="Q174" s="44">
        <v>4</v>
      </c>
      <c r="R174" s="44">
        <v>2</v>
      </c>
      <c r="S174" s="44" t="s">
        <v>1067</v>
      </c>
      <c r="T174" s="44" t="s">
        <v>1068</v>
      </c>
      <c r="U174" s="44"/>
      <c r="V174" s="44"/>
      <c r="W174" s="44" t="s">
        <v>1696</v>
      </c>
      <c r="X174" s="48" t="s">
        <v>1697</v>
      </c>
      <c r="Y174" s="44" t="s">
        <v>1698</v>
      </c>
    </row>
    <row r="175" spans="1:25" x14ac:dyDescent="0.25">
      <c r="A175" s="44" t="s">
        <v>1460</v>
      </c>
      <c r="B175" s="44" t="s">
        <v>225</v>
      </c>
      <c r="C175" s="44" t="s">
        <v>1346</v>
      </c>
      <c r="D175" s="44" t="s">
        <v>143</v>
      </c>
      <c r="E175" s="44" t="s">
        <v>126</v>
      </c>
      <c r="F175" s="44">
        <v>16</v>
      </c>
      <c r="G175" s="44" t="s">
        <v>109</v>
      </c>
      <c r="H175" s="44" t="s">
        <v>121</v>
      </c>
      <c r="I175" s="44" t="s">
        <v>656</v>
      </c>
      <c r="J175" s="44">
        <v>4</v>
      </c>
      <c r="K175" s="44">
        <v>0</v>
      </c>
      <c r="L175" s="45"/>
      <c r="M175" s="44">
        <v>1735</v>
      </c>
      <c r="N175" s="46">
        <f t="shared" si="4"/>
        <v>2.3054755043227667E-3</v>
      </c>
      <c r="O175" s="47" t="str">
        <f t="shared" si="5"/>
        <v/>
      </c>
      <c r="P175" s="44">
        <v>40</v>
      </c>
      <c r="Q175" s="44">
        <v>3</v>
      </c>
      <c r="R175" s="44">
        <v>0</v>
      </c>
      <c r="S175" s="44" t="s">
        <v>1067</v>
      </c>
      <c r="T175" s="44" t="s">
        <v>1068</v>
      </c>
      <c r="U175" s="44"/>
      <c r="V175" s="44"/>
      <c r="W175" s="44" t="s">
        <v>1699</v>
      </c>
      <c r="X175" s="48" t="s">
        <v>1700</v>
      </c>
      <c r="Y175" s="44" t="s">
        <v>1701</v>
      </c>
    </row>
    <row r="176" spans="1:25" x14ac:dyDescent="0.25">
      <c r="A176" s="44" t="s">
        <v>1460</v>
      </c>
      <c r="B176" s="44" t="s">
        <v>225</v>
      </c>
      <c r="C176" s="44" t="s">
        <v>1350</v>
      </c>
      <c r="D176" s="44" t="s">
        <v>143</v>
      </c>
      <c r="E176" s="44" t="s">
        <v>134</v>
      </c>
      <c r="F176" s="44">
        <v>18</v>
      </c>
      <c r="G176" s="44" t="s">
        <v>111</v>
      </c>
      <c r="H176" s="44" t="s">
        <v>120</v>
      </c>
      <c r="I176" s="44" t="s">
        <v>656</v>
      </c>
      <c r="J176" s="44">
        <v>2</v>
      </c>
      <c r="K176" s="44">
        <v>0</v>
      </c>
      <c r="L176" s="45"/>
      <c r="M176" s="44">
        <v>1735</v>
      </c>
      <c r="N176" s="46">
        <f t="shared" si="4"/>
        <v>1.1527377521613833E-3</v>
      </c>
      <c r="O176" s="47" t="str">
        <f t="shared" si="5"/>
        <v/>
      </c>
      <c r="P176" s="44">
        <v>68</v>
      </c>
      <c r="Q176" s="44">
        <v>4</v>
      </c>
      <c r="R176" s="44">
        <v>0</v>
      </c>
      <c r="S176" s="44" t="s">
        <v>1067</v>
      </c>
      <c r="T176" s="44" t="s">
        <v>1068</v>
      </c>
      <c r="U176" s="44"/>
      <c r="V176" s="44"/>
      <c r="W176" s="44" t="s">
        <v>1702</v>
      </c>
      <c r="X176" s="48" t="s">
        <v>1703</v>
      </c>
      <c r="Y176" s="44" t="s">
        <v>1704</v>
      </c>
    </row>
    <row r="177" spans="1:25" x14ac:dyDescent="0.25">
      <c r="A177" s="44" t="s">
        <v>1460</v>
      </c>
      <c r="B177" s="44" t="s">
        <v>225</v>
      </c>
      <c r="C177" s="44" t="s">
        <v>1354</v>
      </c>
      <c r="D177" s="44" t="s">
        <v>143</v>
      </c>
      <c r="E177" s="44" t="s">
        <v>130</v>
      </c>
      <c r="F177" s="44">
        <v>18</v>
      </c>
      <c r="G177" s="44" t="s">
        <v>109</v>
      </c>
      <c r="H177" s="44" t="s">
        <v>121</v>
      </c>
      <c r="I177" s="44" t="s">
        <v>656</v>
      </c>
      <c r="J177" s="44">
        <v>3</v>
      </c>
      <c r="K177" s="44">
        <v>0</v>
      </c>
      <c r="L177" s="45"/>
      <c r="M177" s="44">
        <v>1735</v>
      </c>
      <c r="N177" s="46">
        <f t="shared" si="4"/>
        <v>1.7291066282420749E-3</v>
      </c>
      <c r="O177" s="47" t="str">
        <f t="shared" si="5"/>
        <v/>
      </c>
      <c r="P177" s="44">
        <v>58</v>
      </c>
      <c r="Q177" s="44">
        <v>3</v>
      </c>
      <c r="R177" s="44">
        <v>1</v>
      </c>
      <c r="S177" s="44" t="s">
        <v>1068</v>
      </c>
      <c r="T177" s="44" t="s">
        <v>1068</v>
      </c>
      <c r="U177" s="44"/>
      <c r="V177" s="44"/>
      <c r="W177" s="44" t="s">
        <v>1705</v>
      </c>
      <c r="X177" s="48" t="s">
        <v>1706</v>
      </c>
      <c r="Y177" s="44" t="s">
        <v>1707</v>
      </c>
    </row>
    <row r="178" spans="1:25" x14ac:dyDescent="0.25">
      <c r="A178" s="44" t="s">
        <v>1460</v>
      </c>
      <c r="B178" s="44" t="s">
        <v>225</v>
      </c>
      <c r="C178" s="44" t="s">
        <v>1358</v>
      </c>
      <c r="D178" s="44" t="s">
        <v>143</v>
      </c>
      <c r="E178" s="44" t="s">
        <v>126</v>
      </c>
      <c r="F178" s="44">
        <v>18</v>
      </c>
      <c r="G178" s="44" t="s">
        <v>108</v>
      </c>
      <c r="H178" s="44" t="s">
        <v>122</v>
      </c>
      <c r="I178" s="44" t="s">
        <v>656</v>
      </c>
      <c r="J178" s="44">
        <v>5</v>
      </c>
      <c r="K178" s="44">
        <v>0</v>
      </c>
      <c r="L178" s="45">
        <v>298</v>
      </c>
      <c r="M178" s="44">
        <v>1735</v>
      </c>
      <c r="N178" s="46">
        <f t="shared" si="4"/>
        <v>2.881844380403458E-3</v>
      </c>
      <c r="O178" s="47">
        <f t="shared" si="5"/>
        <v>0.1717579250720461</v>
      </c>
      <c r="P178" s="44">
        <v>53</v>
      </c>
      <c r="Q178" s="44">
        <v>3</v>
      </c>
      <c r="R178" s="44">
        <v>0</v>
      </c>
      <c r="S178" s="44" t="s">
        <v>1067</v>
      </c>
      <c r="T178" s="44" t="s">
        <v>1068</v>
      </c>
      <c r="U178" s="44"/>
      <c r="V178" s="44"/>
      <c r="W178" s="44" t="s">
        <v>1708</v>
      </c>
      <c r="X178" s="48" t="s">
        <v>1709</v>
      </c>
      <c r="Y178" s="44" t="s">
        <v>1710</v>
      </c>
    </row>
    <row r="179" spans="1:25" x14ac:dyDescent="0.25">
      <c r="A179" s="44" t="s">
        <v>1460</v>
      </c>
      <c r="B179" s="44" t="s">
        <v>225</v>
      </c>
      <c r="C179" s="44" t="s">
        <v>1711</v>
      </c>
      <c r="D179" s="44" t="s">
        <v>143</v>
      </c>
      <c r="E179" s="44" t="s">
        <v>136</v>
      </c>
      <c r="F179" s="44">
        <v>18</v>
      </c>
      <c r="G179" s="44" t="s">
        <v>109</v>
      </c>
      <c r="H179" s="44" t="s">
        <v>120</v>
      </c>
      <c r="I179" s="44" t="s">
        <v>656</v>
      </c>
      <c r="J179" s="44">
        <v>9</v>
      </c>
      <c r="K179" s="44">
        <v>3</v>
      </c>
      <c r="L179" s="45"/>
      <c r="M179" s="44">
        <v>1735</v>
      </c>
      <c r="N179" s="46">
        <f t="shared" si="4"/>
        <v>6.9164265129682996E-3</v>
      </c>
      <c r="O179" s="47" t="str">
        <f t="shared" si="5"/>
        <v/>
      </c>
      <c r="P179" s="44">
        <v>59</v>
      </c>
      <c r="Q179" s="44">
        <v>3</v>
      </c>
      <c r="R179" s="44">
        <v>0</v>
      </c>
      <c r="S179" s="44" t="s">
        <v>1067</v>
      </c>
      <c r="T179" s="44" t="s">
        <v>1068</v>
      </c>
      <c r="U179" s="44"/>
      <c r="V179" s="44"/>
      <c r="W179" s="44" t="s">
        <v>1712</v>
      </c>
      <c r="X179" s="48" t="s">
        <v>1713</v>
      </c>
      <c r="Y179" s="44" t="s">
        <v>1714</v>
      </c>
    </row>
    <row r="180" spans="1:25" x14ac:dyDescent="0.25">
      <c r="A180" s="44" t="s">
        <v>1460</v>
      </c>
      <c r="B180" s="44" t="s">
        <v>225</v>
      </c>
      <c r="C180" s="44" t="s">
        <v>1366</v>
      </c>
      <c r="D180" s="44" t="s">
        <v>143</v>
      </c>
      <c r="E180" s="44" t="s">
        <v>130</v>
      </c>
      <c r="F180" s="44">
        <v>17</v>
      </c>
      <c r="G180" s="44" t="s">
        <v>108</v>
      </c>
      <c r="H180" s="44" t="s">
        <v>122</v>
      </c>
      <c r="I180" s="44" t="s">
        <v>656</v>
      </c>
      <c r="J180" s="44">
        <v>6</v>
      </c>
      <c r="K180" s="44">
        <v>1</v>
      </c>
      <c r="L180" s="45">
        <v>254</v>
      </c>
      <c r="M180" s="44">
        <v>1735</v>
      </c>
      <c r="N180" s="46">
        <f t="shared" si="4"/>
        <v>4.0345821325648411E-3</v>
      </c>
      <c r="O180" s="47">
        <f t="shared" si="5"/>
        <v>0.14639769452449566</v>
      </c>
      <c r="P180" s="44">
        <v>42</v>
      </c>
      <c r="Q180" s="44">
        <v>3</v>
      </c>
      <c r="R180" s="44">
        <v>2</v>
      </c>
      <c r="S180" s="44" t="s">
        <v>1067</v>
      </c>
      <c r="T180" s="44" t="s">
        <v>1068</v>
      </c>
      <c r="U180" s="44"/>
      <c r="V180" s="44"/>
      <c r="W180" s="44" t="s">
        <v>1715</v>
      </c>
      <c r="X180" s="48" t="s">
        <v>1716</v>
      </c>
      <c r="Y180" s="44" t="s">
        <v>1717</v>
      </c>
    </row>
    <row r="181" spans="1:25" x14ac:dyDescent="0.25">
      <c r="A181" s="44" t="s">
        <v>1460</v>
      </c>
      <c r="B181" s="44" t="s">
        <v>225</v>
      </c>
      <c r="C181" s="44" t="s">
        <v>1383</v>
      </c>
      <c r="D181" s="44" t="s">
        <v>142</v>
      </c>
      <c r="E181" s="44" t="s">
        <v>126</v>
      </c>
      <c r="F181" s="44">
        <v>18</v>
      </c>
      <c r="G181" s="44" t="s">
        <v>111</v>
      </c>
      <c r="H181" s="44" t="s">
        <v>120</v>
      </c>
      <c r="I181" s="44" t="s">
        <v>656</v>
      </c>
      <c r="J181" s="44">
        <v>5</v>
      </c>
      <c r="K181" s="44">
        <v>0</v>
      </c>
      <c r="L181" s="45"/>
      <c r="M181" s="44">
        <v>1735</v>
      </c>
      <c r="N181" s="46">
        <f t="shared" si="4"/>
        <v>2.881844380403458E-3</v>
      </c>
      <c r="O181" s="47" t="str">
        <f t="shared" si="5"/>
        <v/>
      </c>
      <c r="P181" s="44">
        <v>29</v>
      </c>
      <c r="Q181" s="44">
        <v>3</v>
      </c>
      <c r="R181" s="44">
        <v>1</v>
      </c>
      <c r="S181" s="44" t="s">
        <v>1067</v>
      </c>
      <c r="T181" s="44" t="s">
        <v>1068</v>
      </c>
      <c r="U181" s="44"/>
      <c r="V181" s="44"/>
      <c r="W181" s="44" t="s">
        <v>1718</v>
      </c>
      <c r="X181" s="48" t="s">
        <v>1719</v>
      </c>
      <c r="Y181" s="44" t="s">
        <v>1720</v>
      </c>
    </row>
    <row r="182" spans="1:25" x14ac:dyDescent="0.25">
      <c r="A182" s="44" t="s">
        <v>1460</v>
      </c>
      <c r="B182" s="44" t="s">
        <v>225</v>
      </c>
      <c r="C182" s="44" t="s">
        <v>1721</v>
      </c>
      <c r="D182" s="44" t="s">
        <v>142</v>
      </c>
      <c r="E182" s="44" t="s">
        <v>136</v>
      </c>
      <c r="F182" s="44">
        <v>18</v>
      </c>
      <c r="G182" s="44" t="s">
        <v>109</v>
      </c>
      <c r="H182" s="44" t="s">
        <v>121</v>
      </c>
      <c r="I182" s="44" t="s">
        <v>650</v>
      </c>
      <c r="J182" s="44">
        <v>3</v>
      </c>
      <c r="K182" s="44">
        <v>0</v>
      </c>
      <c r="L182" s="45"/>
      <c r="M182" s="44">
        <v>1735</v>
      </c>
      <c r="N182" s="46">
        <f t="shared" si="4"/>
        <v>1.7291066282420749E-3</v>
      </c>
      <c r="O182" s="47" t="str">
        <f t="shared" si="5"/>
        <v/>
      </c>
      <c r="P182" s="44">
        <v>53</v>
      </c>
      <c r="Q182" s="44">
        <v>3</v>
      </c>
      <c r="R182" s="44">
        <v>1</v>
      </c>
      <c r="S182" s="44" t="s">
        <v>1068</v>
      </c>
      <c r="T182" s="44" t="s">
        <v>1067</v>
      </c>
      <c r="U182" s="44"/>
      <c r="V182" s="44"/>
      <c r="W182" s="44" t="s">
        <v>1722</v>
      </c>
      <c r="X182" s="48" t="s">
        <v>1723</v>
      </c>
      <c r="Y182" s="44" t="s">
        <v>1724</v>
      </c>
    </row>
    <row r="183" spans="1:25" x14ac:dyDescent="0.25">
      <c r="A183" s="44" t="s">
        <v>1460</v>
      </c>
      <c r="B183" s="44" t="s">
        <v>225</v>
      </c>
      <c r="C183" s="44" t="s">
        <v>1391</v>
      </c>
      <c r="D183" s="44" t="s">
        <v>142</v>
      </c>
      <c r="E183" s="44" t="s">
        <v>132</v>
      </c>
      <c r="F183" s="44">
        <v>18</v>
      </c>
      <c r="G183" s="44" t="s">
        <v>111</v>
      </c>
      <c r="H183" s="44" t="s">
        <v>121</v>
      </c>
      <c r="I183" s="44" t="s">
        <v>650</v>
      </c>
      <c r="J183" s="44">
        <v>3</v>
      </c>
      <c r="K183" s="44">
        <v>0</v>
      </c>
      <c r="L183" s="45"/>
      <c r="M183" s="44">
        <v>1735</v>
      </c>
      <c r="N183" s="46">
        <f t="shared" si="4"/>
        <v>1.7291066282420749E-3</v>
      </c>
      <c r="O183" s="47" t="str">
        <f t="shared" si="5"/>
        <v/>
      </c>
      <c r="P183" s="44">
        <v>60</v>
      </c>
      <c r="Q183" s="44">
        <v>3</v>
      </c>
      <c r="R183" s="44">
        <v>2</v>
      </c>
      <c r="S183" s="44" t="s">
        <v>1067</v>
      </c>
      <c r="T183" s="44" t="s">
        <v>1067</v>
      </c>
      <c r="U183" s="44"/>
      <c r="V183" s="44"/>
      <c r="W183" s="44" t="s">
        <v>1725</v>
      </c>
      <c r="X183" s="48" t="s">
        <v>1726</v>
      </c>
      <c r="Y183" s="44" t="s">
        <v>1727</v>
      </c>
    </row>
    <row r="184" spans="1:25" x14ac:dyDescent="0.25">
      <c r="A184" s="44" t="s">
        <v>1460</v>
      </c>
      <c r="B184" s="44" t="s">
        <v>225</v>
      </c>
      <c r="C184" s="44" t="s">
        <v>1399</v>
      </c>
      <c r="D184" s="44" t="s">
        <v>142</v>
      </c>
      <c r="E184" s="44" t="s">
        <v>126</v>
      </c>
      <c r="F184" s="44">
        <v>14</v>
      </c>
      <c r="G184" s="44" t="s">
        <v>108</v>
      </c>
      <c r="H184" s="44" t="s">
        <v>117</v>
      </c>
      <c r="I184" s="44" t="s">
        <v>656</v>
      </c>
      <c r="J184" s="44">
        <v>9</v>
      </c>
      <c r="K184" s="44">
        <v>0</v>
      </c>
      <c r="L184" s="45">
        <v>787</v>
      </c>
      <c r="M184" s="44">
        <v>1735</v>
      </c>
      <c r="N184" s="46">
        <f t="shared" si="4"/>
        <v>5.1873198847262247E-3</v>
      </c>
      <c r="O184" s="47">
        <f t="shared" si="5"/>
        <v>0.45360230547550434</v>
      </c>
      <c r="P184" s="44">
        <v>31</v>
      </c>
      <c r="Q184" s="44">
        <v>0</v>
      </c>
      <c r="R184" s="44">
        <v>2</v>
      </c>
      <c r="S184" s="44" t="s">
        <v>1067</v>
      </c>
      <c r="T184" s="44" t="s">
        <v>1068</v>
      </c>
      <c r="U184" s="44"/>
      <c r="V184" s="44"/>
      <c r="W184" s="44" t="s">
        <v>1728</v>
      </c>
      <c r="X184" s="48" t="s">
        <v>1729</v>
      </c>
      <c r="Y184" s="44" t="s">
        <v>1730</v>
      </c>
    </row>
    <row r="185" spans="1:25" x14ac:dyDescent="0.25">
      <c r="A185" s="44" t="s">
        <v>1460</v>
      </c>
      <c r="B185" s="44" t="s">
        <v>225</v>
      </c>
      <c r="C185" s="44" t="s">
        <v>1731</v>
      </c>
      <c r="D185" s="44" t="s">
        <v>142</v>
      </c>
      <c r="E185" s="44" t="s">
        <v>137</v>
      </c>
      <c r="F185" s="44">
        <v>18</v>
      </c>
      <c r="G185" s="44" t="s">
        <v>111</v>
      </c>
      <c r="H185" s="44" t="s">
        <v>121</v>
      </c>
      <c r="I185" s="44" t="s">
        <v>656</v>
      </c>
      <c r="J185" s="44">
        <v>3</v>
      </c>
      <c r="K185" s="44">
        <v>0</v>
      </c>
      <c r="L185" s="45"/>
      <c r="M185" s="44">
        <v>1735</v>
      </c>
      <c r="N185" s="46">
        <f t="shared" si="4"/>
        <v>1.7291066282420749E-3</v>
      </c>
      <c r="O185" s="47" t="str">
        <f t="shared" si="5"/>
        <v/>
      </c>
      <c r="P185" s="44">
        <v>83</v>
      </c>
      <c r="Q185" s="44">
        <v>3</v>
      </c>
      <c r="R185" s="44">
        <v>0</v>
      </c>
      <c r="S185" s="44" t="s">
        <v>1068</v>
      </c>
      <c r="T185" s="44" t="s">
        <v>1067</v>
      </c>
      <c r="U185" s="44"/>
      <c r="V185" s="44"/>
      <c r="W185" s="44" t="s">
        <v>1732</v>
      </c>
      <c r="X185" s="48" t="s">
        <v>1733</v>
      </c>
      <c r="Y185" s="44" t="s">
        <v>1734</v>
      </c>
    </row>
    <row r="186" spans="1:25" x14ac:dyDescent="0.25">
      <c r="A186" s="44" t="s">
        <v>1460</v>
      </c>
      <c r="B186" s="44" t="s">
        <v>225</v>
      </c>
      <c r="C186" s="44" t="s">
        <v>1403</v>
      </c>
      <c r="D186" s="44" t="s">
        <v>142</v>
      </c>
      <c r="E186" s="44" t="s">
        <v>134</v>
      </c>
      <c r="F186" s="44">
        <v>18</v>
      </c>
      <c r="G186" s="44" t="s">
        <v>108</v>
      </c>
      <c r="H186" s="44" t="s">
        <v>120</v>
      </c>
      <c r="I186" s="44" t="s">
        <v>656</v>
      </c>
      <c r="J186" s="44">
        <v>8</v>
      </c>
      <c r="K186" s="44">
        <v>0</v>
      </c>
      <c r="L186" s="45">
        <v>244</v>
      </c>
      <c r="M186" s="44">
        <v>1735</v>
      </c>
      <c r="N186" s="46">
        <f t="shared" si="4"/>
        <v>4.6109510086455334E-3</v>
      </c>
      <c r="O186" s="47">
        <f t="shared" si="5"/>
        <v>0.14063400576368876</v>
      </c>
      <c r="P186" s="44">
        <v>62</v>
      </c>
      <c r="Q186" s="44">
        <v>3</v>
      </c>
      <c r="R186" s="44">
        <v>0</v>
      </c>
      <c r="S186" s="44" t="s">
        <v>1067</v>
      </c>
      <c r="T186" s="44" t="s">
        <v>1068</v>
      </c>
      <c r="U186" s="44"/>
      <c r="V186" s="44"/>
      <c r="W186" s="44" t="s">
        <v>1735</v>
      </c>
      <c r="X186" s="48" t="s">
        <v>1736</v>
      </c>
      <c r="Y186" s="44" t="s">
        <v>1737</v>
      </c>
    </row>
    <row r="187" spans="1:25" x14ac:dyDescent="0.25">
      <c r="A187" s="44" t="s">
        <v>1460</v>
      </c>
      <c r="B187" s="44" t="s">
        <v>225</v>
      </c>
      <c r="C187" s="44" t="s">
        <v>1738</v>
      </c>
      <c r="D187" s="44" t="s">
        <v>142</v>
      </c>
      <c r="E187" s="44" t="s">
        <v>132</v>
      </c>
      <c r="F187" s="44">
        <v>18</v>
      </c>
      <c r="G187" s="44" t="s">
        <v>111</v>
      </c>
      <c r="H187" s="44" t="s">
        <v>117</v>
      </c>
      <c r="I187" s="44" t="s">
        <v>629</v>
      </c>
      <c r="J187" s="44">
        <v>4</v>
      </c>
      <c r="K187" s="44">
        <v>0</v>
      </c>
      <c r="L187" s="45"/>
      <c r="M187" s="44">
        <v>1735</v>
      </c>
      <c r="N187" s="46">
        <f t="shared" si="4"/>
        <v>2.3054755043227667E-3</v>
      </c>
      <c r="O187" s="47" t="str">
        <f t="shared" si="5"/>
        <v/>
      </c>
      <c r="P187" s="44">
        <v>31</v>
      </c>
      <c r="Q187" s="44">
        <v>3</v>
      </c>
      <c r="R187" s="44">
        <v>0</v>
      </c>
      <c r="S187" s="44" t="s">
        <v>1068</v>
      </c>
      <c r="T187" s="44" t="s">
        <v>1068</v>
      </c>
      <c r="U187" s="44"/>
      <c r="V187" s="44"/>
      <c r="W187" s="44" t="s">
        <v>1739</v>
      </c>
      <c r="X187" s="48" t="s">
        <v>1740</v>
      </c>
      <c r="Y187" s="44" t="s">
        <v>1741</v>
      </c>
    </row>
    <row r="188" spans="1:25" x14ac:dyDescent="0.25">
      <c r="A188" s="44" t="s">
        <v>1460</v>
      </c>
      <c r="B188" s="44" t="s">
        <v>225</v>
      </c>
      <c r="C188" s="44" t="s">
        <v>1742</v>
      </c>
      <c r="D188" s="44" t="s">
        <v>142</v>
      </c>
      <c r="E188" s="44" t="s">
        <v>126</v>
      </c>
      <c r="F188" s="44">
        <v>17</v>
      </c>
      <c r="G188" s="44" t="s">
        <v>111</v>
      </c>
      <c r="H188" s="44" t="s">
        <v>121</v>
      </c>
      <c r="I188" s="44" t="s">
        <v>650</v>
      </c>
      <c r="J188" s="44">
        <v>4</v>
      </c>
      <c r="K188" s="44">
        <v>0</v>
      </c>
      <c r="L188" s="45"/>
      <c r="M188" s="44">
        <v>1735</v>
      </c>
      <c r="N188" s="46">
        <f t="shared" si="4"/>
        <v>2.3054755043227667E-3</v>
      </c>
      <c r="O188" s="47" t="str">
        <f t="shared" si="5"/>
        <v/>
      </c>
      <c r="P188" s="44">
        <v>66</v>
      </c>
      <c r="Q188" s="44">
        <v>3</v>
      </c>
      <c r="R188" s="44">
        <v>0</v>
      </c>
      <c r="S188" s="44" t="s">
        <v>1067</v>
      </c>
      <c r="T188" s="44" t="s">
        <v>1067</v>
      </c>
      <c r="U188" s="44"/>
      <c r="V188" s="44"/>
      <c r="W188" s="44" t="s">
        <v>1743</v>
      </c>
      <c r="X188" s="48" t="s">
        <v>1744</v>
      </c>
      <c r="Y188" s="44" t="s">
        <v>1745</v>
      </c>
    </row>
    <row r="189" spans="1:25" x14ac:dyDescent="0.25">
      <c r="A189" s="44" t="s">
        <v>1460</v>
      </c>
      <c r="B189" s="44" t="s">
        <v>225</v>
      </c>
      <c r="C189" s="44" t="s">
        <v>158</v>
      </c>
      <c r="D189" s="44" t="s">
        <v>142</v>
      </c>
      <c r="E189" s="44" t="s">
        <v>132</v>
      </c>
      <c r="F189" s="44">
        <v>18</v>
      </c>
      <c r="G189" s="44" t="s">
        <v>111</v>
      </c>
      <c r="H189" s="44" t="s">
        <v>122</v>
      </c>
      <c r="I189" s="44" t="s">
        <v>650</v>
      </c>
      <c r="J189" s="44">
        <v>3</v>
      </c>
      <c r="K189" s="44">
        <v>0</v>
      </c>
      <c r="L189" s="45"/>
      <c r="M189" s="44">
        <v>1735</v>
      </c>
      <c r="N189" s="46">
        <f t="shared" si="4"/>
        <v>1.7291066282420749E-3</v>
      </c>
      <c r="O189" s="47" t="str">
        <f t="shared" si="5"/>
        <v/>
      </c>
      <c r="P189" s="44">
        <v>47</v>
      </c>
      <c r="Q189" s="44">
        <v>4</v>
      </c>
      <c r="R189" s="44">
        <v>0</v>
      </c>
      <c r="S189" s="44" t="s">
        <v>1067</v>
      </c>
      <c r="T189" s="44" t="s">
        <v>1067</v>
      </c>
      <c r="U189" s="44"/>
      <c r="V189" s="44"/>
      <c r="W189" s="44" t="s">
        <v>1746</v>
      </c>
      <c r="X189" s="48" t="s">
        <v>1747</v>
      </c>
      <c r="Y189" s="44" t="s">
        <v>1748</v>
      </c>
    </row>
    <row r="190" spans="1:25" x14ac:dyDescent="0.25">
      <c r="A190" s="44" t="s">
        <v>1460</v>
      </c>
      <c r="B190" s="44" t="s">
        <v>225</v>
      </c>
      <c r="C190" s="44" t="s">
        <v>1410</v>
      </c>
      <c r="D190" s="44" t="s">
        <v>142</v>
      </c>
      <c r="E190" s="44" t="s">
        <v>128</v>
      </c>
      <c r="F190" s="44">
        <v>18</v>
      </c>
      <c r="G190" s="44" t="s">
        <v>111</v>
      </c>
      <c r="H190" s="44" t="s">
        <v>120</v>
      </c>
      <c r="I190" s="44" t="s">
        <v>656</v>
      </c>
      <c r="J190" s="44">
        <v>4</v>
      </c>
      <c r="K190" s="44">
        <v>0</v>
      </c>
      <c r="L190" s="45"/>
      <c r="M190" s="44">
        <v>1735</v>
      </c>
      <c r="N190" s="46">
        <f t="shared" si="4"/>
        <v>2.3054755043227667E-3</v>
      </c>
      <c r="O190" s="47" t="str">
        <f t="shared" si="5"/>
        <v/>
      </c>
      <c r="P190" s="44">
        <v>43</v>
      </c>
      <c r="Q190" s="44">
        <v>4</v>
      </c>
      <c r="R190" s="44">
        <v>0</v>
      </c>
      <c r="S190" s="44" t="s">
        <v>1067</v>
      </c>
      <c r="T190" s="44" t="s">
        <v>1068</v>
      </c>
      <c r="U190" s="44"/>
      <c r="V190" s="44"/>
      <c r="W190" s="44" t="s">
        <v>1749</v>
      </c>
      <c r="X190" s="48" t="s">
        <v>1750</v>
      </c>
      <c r="Y190" s="44" t="s">
        <v>1751</v>
      </c>
    </row>
    <row r="191" spans="1:25" x14ac:dyDescent="0.25">
      <c r="A191" s="44" t="s">
        <v>1460</v>
      </c>
      <c r="B191" s="44" t="s">
        <v>225</v>
      </c>
      <c r="C191" s="44" t="s">
        <v>1410</v>
      </c>
      <c r="D191" s="44" t="s">
        <v>142</v>
      </c>
      <c r="E191" s="44" t="s">
        <v>128</v>
      </c>
      <c r="F191" s="44">
        <v>15</v>
      </c>
      <c r="G191" s="44" t="s">
        <v>111</v>
      </c>
      <c r="H191" s="44" t="s">
        <v>117</v>
      </c>
      <c r="I191" s="44" t="s">
        <v>638</v>
      </c>
      <c r="J191" s="44">
        <v>8</v>
      </c>
      <c r="K191" s="44">
        <v>1</v>
      </c>
      <c r="L191" s="45"/>
      <c r="M191" s="44">
        <v>1735</v>
      </c>
      <c r="N191" s="46">
        <f t="shared" si="4"/>
        <v>5.1873198847262247E-3</v>
      </c>
      <c r="O191" s="47" t="str">
        <f t="shared" si="5"/>
        <v/>
      </c>
      <c r="P191" s="44">
        <v>82</v>
      </c>
      <c r="Q191" s="44">
        <v>4</v>
      </c>
      <c r="R191" s="44">
        <v>0</v>
      </c>
      <c r="S191" s="44" t="s">
        <v>1067</v>
      </c>
      <c r="T191" s="44" t="s">
        <v>1068</v>
      </c>
      <c r="U191" s="44"/>
      <c r="V191" s="44"/>
      <c r="W191" s="44" t="s">
        <v>1752</v>
      </c>
      <c r="X191" s="48" t="s">
        <v>1753</v>
      </c>
      <c r="Y191" s="44" t="s">
        <v>1754</v>
      </c>
    </row>
    <row r="192" spans="1:25" x14ac:dyDescent="0.25">
      <c r="A192" s="44" t="s">
        <v>1460</v>
      </c>
      <c r="B192" s="44" t="s">
        <v>225</v>
      </c>
      <c r="C192" s="44" t="s">
        <v>1755</v>
      </c>
      <c r="D192" s="44" t="s">
        <v>142</v>
      </c>
      <c r="E192" s="44" t="s">
        <v>126</v>
      </c>
      <c r="F192" s="44">
        <v>17</v>
      </c>
      <c r="G192" s="44" t="s">
        <v>108</v>
      </c>
      <c r="H192" s="44" t="s">
        <v>118</v>
      </c>
      <c r="I192" s="44" t="s">
        <v>656</v>
      </c>
      <c r="J192" s="44">
        <v>5</v>
      </c>
      <c r="K192" s="44">
        <v>0</v>
      </c>
      <c r="L192" s="45">
        <v>296</v>
      </c>
      <c r="M192" s="44">
        <v>1735</v>
      </c>
      <c r="N192" s="46">
        <f t="shared" si="4"/>
        <v>2.881844380403458E-3</v>
      </c>
      <c r="O192" s="47">
        <f t="shared" si="5"/>
        <v>0.17060518731988472</v>
      </c>
      <c r="P192" s="44">
        <v>65</v>
      </c>
      <c r="Q192" s="44">
        <v>4</v>
      </c>
      <c r="R192" s="44">
        <v>1</v>
      </c>
      <c r="S192" s="44" t="s">
        <v>1067</v>
      </c>
      <c r="T192" s="44" t="s">
        <v>1067</v>
      </c>
      <c r="U192" s="44"/>
      <c r="V192" s="44"/>
      <c r="W192" s="44" t="s">
        <v>1756</v>
      </c>
      <c r="X192" s="48" t="s">
        <v>1757</v>
      </c>
      <c r="Y192" s="44" t="s">
        <v>1758</v>
      </c>
    </row>
    <row r="193" spans="1:25" x14ac:dyDescent="0.25">
      <c r="A193" s="44" t="s">
        <v>1460</v>
      </c>
      <c r="B193" s="44" t="s">
        <v>225</v>
      </c>
      <c r="C193" s="44" t="s">
        <v>1414</v>
      </c>
      <c r="D193" s="44" t="s">
        <v>142</v>
      </c>
      <c r="E193" s="44" t="s">
        <v>130</v>
      </c>
      <c r="F193" s="44">
        <v>17</v>
      </c>
      <c r="G193" s="44" t="s">
        <v>109</v>
      </c>
      <c r="H193" s="44" t="s">
        <v>120</v>
      </c>
      <c r="I193" s="44" t="s">
        <v>656</v>
      </c>
      <c r="J193" s="44">
        <v>6</v>
      </c>
      <c r="K193" s="44">
        <v>0</v>
      </c>
      <c r="L193" s="45"/>
      <c r="M193" s="44">
        <v>1735</v>
      </c>
      <c r="N193" s="46">
        <f t="shared" si="4"/>
        <v>3.4582132564841498E-3</v>
      </c>
      <c r="O193" s="47" t="str">
        <f t="shared" si="5"/>
        <v/>
      </c>
      <c r="P193" s="44">
        <v>54</v>
      </c>
      <c r="Q193" s="44">
        <v>3</v>
      </c>
      <c r="R193" s="44">
        <v>0</v>
      </c>
      <c r="S193" s="44" t="s">
        <v>1067</v>
      </c>
      <c r="T193" s="44" t="s">
        <v>1068</v>
      </c>
      <c r="U193" s="44"/>
      <c r="V193" s="44"/>
      <c r="W193" s="44" t="s">
        <v>1759</v>
      </c>
      <c r="X193" s="48" t="s">
        <v>1760</v>
      </c>
      <c r="Y193" s="44" t="s">
        <v>1761</v>
      </c>
    </row>
    <row r="194" spans="1:25" x14ac:dyDescent="0.25">
      <c r="A194" s="44" t="s">
        <v>1460</v>
      </c>
      <c r="B194" s="44" t="s">
        <v>225</v>
      </c>
      <c r="C194" s="44" t="s">
        <v>1762</v>
      </c>
      <c r="D194" s="44" t="s">
        <v>142</v>
      </c>
      <c r="E194" s="44" t="s">
        <v>128</v>
      </c>
      <c r="F194" s="44">
        <v>12</v>
      </c>
      <c r="G194" s="44" t="s">
        <v>111</v>
      </c>
      <c r="H194" s="44" t="s">
        <v>122</v>
      </c>
      <c r="I194" s="44" t="s">
        <v>656</v>
      </c>
      <c r="J194" s="44">
        <v>4</v>
      </c>
      <c r="K194" s="44">
        <v>0</v>
      </c>
      <c r="L194" s="45"/>
      <c r="M194" s="44">
        <v>1735</v>
      </c>
      <c r="N194" s="46">
        <f t="shared" ref="N194:N257" si="6">(J194+K194)/M194</f>
        <v>2.3054755043227667E-3</v>
      </c>
      <c r="O194" s="47" t="str">
        <f t="shared" ref="O194:O257" si="7">IF(L194="","",L194/M194)</f>
        <v/>
      </c>
      <c r="P194" s="44">
        <v>78</v>
      </c>
      <c r="Q194" s="44">
        <v>0</v>
      </c>
      <c r="R194" s="44">
        <v>1</v>
      </c>
      <c r="S194" s="44" t="s">
        <v>1067</v>
      </c>
      <c r="T194" s="44" t="s">
        <v>1068</v>
      </c>
      <c r="U194" s="44"/>
      <c r="V194" s="44"/>
      <c r="W194" s="44" t="s">
        <v>1763</v>
      </c>
      <c r="X194" s="48" t="s">
        <v>1764</v>
      </c>
      <c r="Y194" s="44" t="s">
        <v>1765</v>
      </c>
    </row>
    <row r="195" spans="1:25" x14ac:dyDescent="0.25">
      <c r="A195" s="44" t="s">
        <v>1460</v>
      </c>
      <c r="B195" s="44" t="s">
        <v>225</v>
      </c>
      <c r="C195" s="44" t="s">
        <v>1766</v>
      </c>
      <c r="D195" s="44" t="s">
        <v>142</v>
      </c>
      <c r="E195" s="44" t="s">
        <v>126</v>
      </c>
      <c r="F195" s="44">
        <v>17</v>
      </c>
      <c r="G195" s="44" t="s">
        <v>111</v>
      </c>
      <c r="H195" s="44" t="s">
        <v>120</v>
      </c>
      <c r="I195" s="44" t="s">
        <v>656</v>
      </c>
      <c r="J195" s="44">
        <v>2</v>
      </c>
      <c r="K195" s="44">
        <v>0</v>
      </c>
      <c r="L195" s="45"/>
      <c r="M195" s="44">
        <v>1735</v>
      </c>
      <c r="N195" s="46">
        <f t="shared" si="6"/>
        <v>1.1527377521613833E-3</v>
      </c>
      <c r="O195" s="47" t="str">
        <f t="shared" si="7"/>
        <v/>
      </c>
      <c r="P195" s="44">
        <v>55</v>
      </c>
      <c r="Q195" s="44">
        <v>4</v>
      </c>
      <c r="R195" s="44">
        <v>0</v>
      </c>
      <c r="S195" s="44" t="s">
        <v>1067</v>
      </c>
      <c r="T195" s="44" t="s">
        <v>1068</v>
      </c>
      <c r="U195" s="44"/>
      <c r="V195" s="44"/>
      <c r="W195" s="44" t="s">
        <v>1767</v>
      </c>
      <c r="X195" s="48" t="s">
        <v>1768</v>
      </c>
      <c r="Y195" s="44" t="s">
        <v>1769</v>
      </c>
    </row>
    <row r="196" spans="1:25" x14ac:dyDescent="0.25">
      <c r="A196" s="44" t="s">
        <v>1460</v>
      </c>
      <c r="B196" s="44" t="s">
        <v>225</v>
      </c>
      <c r="C196" s="44" t="s">
        <v>1422</v>
      </c>
      <c r="D196" s="44" t="s">
        <v>141</v>
      </c>
      <c r="E196" s="44" t="s">
        <v>134</v>
      </c>
      <c r="F196" s="44">
        <v>22</v>
      </c>
      <c r="G196" s="44" t="s">
        <v>111</v>
      </c>
      <c r="H196" s="44" t="s">
        <v>121</v>
      </c>
      <c r="I196" s="44" t="s">
        <v>656</v>
      </c>
      <c r="J196" s="44">
        <v>4</v>
      </c>
      <c r="K196" s="44">
        <v>0</v>
      </c>
      <c r="L196" s="45"/>
      <c r="M196" s="44">
        <v>1735</v>
      </c>
      <c r="N196" s="46">
        <f t="shared" si="6"/>
        <v>2.3054755043227667E-3</v>
      </c>
      <c r="O196" s="47" t="str">
        <f t="shared" si="7"/>
        <v/>
      </c>
      <c r="P196" s="44">
        <v>61</v>
      </c>
      <c r="Q196" s="44">
        <v>3</v>
      </c>
      <c r="R196" s="44">
        <v>1</v>
      </c>
      <c r="S196" s="44" t="s">
        <v>1067</v>
      </c>
      <c r="T196" s="44" t="s">
        <v>1068</v>
      </c>
      <c r="U196" s="44"/>
      <c r="V196" s="44"/>
      <c r="W196" s="44" t="s">
        <v>1770</v>
      </c>
      <c r="X196" s="48" t="s">
        <v>1771</v>
      </c>
      <c r="Y196" s="44" t="s">
        <v>1772</v>
      </c>
    </row>
    <row r="197" spans="1:25" x14ac:dyDescent="0.25">
      <c r="A197" s="44" t="s">
        <v>1460</v>
      </c>
      <c r="B197" s="44" t="s">
        <v>225</v>
      </c>
      <c r="C197" s="44" t="s">
        <v>1422</v>
      </c>
      <c r="D197" s="44" t="s">
        <v>141</v>
      </c>
      <c r="E197" s="44" t="s">
        <v>134</v>
      </c>
      <c r="F197" s="44">
        <v>16</v>
      </c>
      <c r="G197" s="44" t="s">
        <v>111</v>
      </c>
      <c r="H197" s="44" t="s">
        <v>122</v>
      </c>
      <c r="I197" s="44" t="s">
        <v>656</v>
      </c>
      <c r="J197" s="44">
        <v>3</v>
      </c>
      <c r="K197" s="44">
        <v>0</v>
      </c>
      <c r="L197" s="45"/>
      <c r="M197" s="44">
        <v>1735</v>
      </c>
      <c r="N197" s="46">
        <f t="shared" si="6"/>
        <v>1.7291066282420749E-3</v>
      </c>
      <c r="O197" s="47" t="str">
        <f t="shared" si="7"/>
        <v/>
      </c>
      <c r="P197" s="44">
        <v>45</v>
      </c>
      <c r="Q197" s="44">
        <v>3</v>
      </c>
      <c r="R197" s="44">
        <v>2</v>
      </c>
      <c r="S197" s="44" t="s">
        <v>1068</v>
      </c>
      <c r="T197" s="44" t="s">
        <v>1067</v>
      </c>
      <c r="U197" s="44"/>
      <c r="V197" s="44"/>
      <c r="W197" s="44" t="s">
        <v>1773</v>
      </c>
      <c r="X197" s="48" t="s">
        <v>1774</v>
      </c>
      <c r="Y197" s="44" t="s">
        <v>1775</v>
      </c>
    </row>
    <row r="198" spans="1:25" x14ac:dyDescent="0.25">
      <c r="A198" s="44" t="s">
        <v>1460</v>
      </c>
      <c r="B198" s="44" t="s">
        <v>225</v>
      </c>
      <c r="C198" s="44" t="s">
        <v>170</v>
      </c>
      <c r="D198" s="44" t="s">
        <v>141</v>
      </c>
      <c r="E198" s="44" t="s">
        <v>130</v>
      </c>
      <c r="F198" s="44">
        <v>17</v>
      </c>
      <c r="G198" s="44" t="s">
        <v>108</v>
      </c>
      <c r="H198" s="44" t="s">
        <v>542</v>
      </c>
      <c r="I198" s="44" t="s">
        <v>656</v>
      </c>
      <c r="J198" s="44">
        <v>5</v>
      </c>
      <c r="K198" s="44">
        <v>0</v>
      </c>
      <c r="L198" s="45">
        <v>269</v>
      </c>
      <c r="M198" s="44">
        <v>1735</v>
      </c>
      <c r="N198" s="46">
        <f t="shared" si="6"/>
        <v>2.881844380403458E-3</v>
      </c>
      <c r="O198" s="47">
        <f t="shared" si="7"/>
        <v>0.15504322766570605</v>
      </c>
      <c r="P198" s="44">
        <v>54</v>
      </c>
      <c r="Q198" s="44">
        <v>3</v>
      </c>
      <c r="R198" s="44">
        <v>1</v>
      </c>
      <c r="S198" s="44" t="s">
        <v>1067</v>
      </c>
      <c r="T198" s="44" t="s">
        <v>1068</v>
      </c>
      <c r="U198" s="44"/>
      <c r="V198" s="44"/>
      <c r="W198" s="44" t="s">
        <v>1776</v>
      </c>
      <c r="X198" s="48" t="s">
        <v>1777</v>
      </c>
      <c r="Y198" s="44" t="s">
        <v>1778</v>
      </c>
    </row>
    <row r="199" spans="1:25" x14ac:dyDescent="0.25">
      <c r="A199" s="44" t="s">
        <v>1460</v>
      </c>
      <c r="B199" s="44" t="s">
        <v>225</v>
      </c>
      <c r="C199" s="44" t="s">
        <v>1438</v>
      </c>
      <c r="D199" s="44" t="s">
        <v>141</v>
      </c>
      <c r="E199" s="44" t="s">
        <v>126</v>
      </c>
      <c r="F199" s="44">
        <v>17</v>
      </c>
      <c r="G199" s="44" t="s">
        <v>109</v>
      </c>
      <c r="H199" s="44" t="s">
        <v>117</v>
      </c>
      <c r="I199" s="44" t="s">
        <v>656</v>
      </c>
      <c r="J199" s="44">
        <v>8</v>
      </c>
      <c r="K199" s="44">
        <v>3</v>
      </c>
      <c r="L199" s="45"/>
      <c r="M199" s="44">
        <v>1735</v>
      </c>
      <c r="N199" s="46">
        <f t="shared" si="6"/>
        <v>6.3400576368876083E-3</v>
      </c>
      <c r="O199" s="47" t="str">
        <f t="shared" si="7"/>
        <v/>
      </c>
      <c r="P199" s="44">
        <v>71</v>
      </c>
      <c r="Q199" s="44">
        <v>3</v>
      </c>
      <c r="R199" s="44">
        <v>0</v>
      </c>
      <c r="S199" s="44" t="s">
        <v>1067</v>
      </c>
      <c r="T199" s="44" t="s">
        <v>1068</v>
      </c>
      <c r="U199" s="44"/>
      <c r="V199" s="44"/>
      <c r="W199" s="44" t="s">
        <v>1779</v>
      </c>
      <c r="X199" s="48" t="s">
        <v>1780</v>
      </c>
      <c r="Y199" s="44" t="s">
        <v>1781</v>
      </c>
    </row>
    <row r="200" spans="1:25" x14ac:dyDescent="0.25">
      <c r="A200" s="44" t="s">
        <v>1460</v>
      </c>
      <c r="B200" s="44" t="s">
        <v>225</v>
      </c>
      <c r="C200" s="44" t="s">
        <v>173</v>
      </c>
      <c r="D200" s="44" t="s">
        <v>141</v>
      </c>
      <c r="E200" s="44" t="s">
        <v>132</v>
      </c>
      <c r="F200" s="44">
        <v>17</v>
      </c>
      <c r="G200" s="44" t="s">
        <v>111</v>
      </c>
      <c r="H200" s="44" t="s">
        <v>119</v>
      </c>
      <c r="I200" s="44" t="s">
        <v>650</v>
      </c>
      <c r="J200" s="44">
        <v>19</v>
      </c>
      <c r="K200" s="44">
        <v>0</v>
      </c>
      <c r="L200" s="45"/>
      <c r="M200" s="44">
        <v>1735</v>
      </c>
      <c r="N200" s="46">
        <f t="shared" si="6"/>
        <v>1.0951008645533141E-2</v>
      </c>
      <c r="O200" s="47" t="str">
        <f t="shared" si="7"/>
        <v/>
      </c>
      <c r="P200" s="44">
        <v>55</v>
      </c>
      <c r="Q200" s="44">
        <v>3</v>
      </c>
      <c r="R200" s="44">
        <v>2</v>
      </c>
      <c r="S200" s="44" t="s">
        <v>1068</v>
      </c>
      <c r="T200" s="44" t="s">
        <v>1067</v>
      </c>
      <c r="U200" s="44"/>
      <c r="V200" s="44"/>
      <c r="W200" s="44" t="s">
        <v>298</v>
      </c>
      <c r="X200" s="48" t="s">
        <v>1782</v>
      </c>
      <c r="Y200" s="44" t="s">
        <v>1783</v>
      </c>
    </row>
    <row r="201" spans="1:25" x14ac:dyDescent="0.25">
      <c r="A201" s="44" t="s">
        <v>1460</v>
      </c>
      <c r="B201" s="44" t="s">
        <v>225</v>
      </c>
      <c r="C201" s="44" t="s">
        <v>1455</v>
      </c>
      <c r="D201" s="44" t="s">
        <v>141</v>
      </c>
      <c r="E201" s="44" t="s">
        <v>130</v>
      </c>
      <c r="F201" s="44">
        <v>17</v>
      </c>
      <c r="G201" s="44" t="s">
        <v>111</v>
      </c>
      <c r="H201" s="44" t="s">
        <v>121</v>
      </c>
      <c r="I201" s="44" t="s">
        <v>656</v>
      </c>
      <c r="J201" s="44">
        <v>8</v>
      </c>
      <c r="K201" s="44">
        <v>0</v>
      </c>
      <c r="L201" s="45"/>
      <c r="M201" s="44">
        <v>1735</v>
      </c>
      <c r="N201" s="46">
        <f t="shared" si="6"/>
        <v>4.6109510086455334E-3</v>
      </c>
      <c r="O201" s="47" t="str">
        <f t="shared" si="7"/>
        <v/>
      </c>
      <c r="P201" s="44">
        <v>27</v>
      </c>
      <c r="Q201" s="44">
        <v>3</v>
      </c>
      <c r="R201" s="44">
        <v>2</v>
      </c>
      <c r="S201" s="44" t="s">
        <v>1068</v>
      </c>
      <c r="T201" s="44" t="s">
        <v>1068</v>
      </c>
      <c r="U201" s="44"/>
      <c r="V201" s="44"/>
      <c r="W201" s="44" t="s">
        <v>1784</v>
      </c>
      <c r="X201" s="48" t="s">
        <v>1785</v>
      </c>
      <c r="Y201" s="44" t="s">
        <v>1786</v>
      </c>
    </row>
    <row r="202" spans="1:25" x14ac:dyDescent="0.25">
      <c r="A202" s="44" t="s">
        <v>1460</v>
      </c>
      <c r="B202" s="44" t="s">
        <v>225</v>
      </c>
      <c r="C202" s="44" t="s">
        <v>1787</v>
      </c>
      <c r="D202" s="44" t="s">
        <v>141</v>
      </c>
      <c r="E202" s="44" t="s">
        <v>137</v>
      </c>
      <c r="F202" s="44">
        <v>17</v>
      </c>
      <c r="G202" s="44" t="s">
        <v>111</v>
      </c>
      <c r="H202" s="44" t="s">
        <v>117</v>
      </c>
      <c r="I202" s="44" t="s">
        <v>656</v>
      </c>
      <c r="J202" s="44">
        <v>4</v>
      </c>
      <c r="K202" s="44">
        <v>0</v>
      </c>
      <c r="L202" s="45"/>
      <c r="M202" s="44">
        <v>1735</v>
      </c>
      <c r="N202" s="46">
        <f t="shared" si="6"/>
        <v>2.3054755043227667E-3</v>
      </c>
      <c r="O202" s="47" t="str">
        <f t="shared" si="7"/>
        <v/>
      </c>
      <c r="P202" s="44">
        <v>58</v>
      </c>
      <c r="Q202" s="44">
        <v>3</v>
      </c>
      <c r="R202" s="44">
        <v>3</v>
      </c>
      <c r="S202" s="44" t="s">
        <v>1067</v>
      </c>
      <c r="T202" s="44" t="s">
        <v>1068</v>
      </c>
      <c r="U202" s="44"/>
      <c r="V202" s="44"/>
      <c r="W202" s="44" t="s">
        <v>1788</v>
      </c>
      <c r="X202" s="48" t="s">
        <v>1789</v>
      </c>
      <c r="Y202" s="44" t="s">
        <v>1790</v>
      </c>
    </row>
    <row r="203" spans="1:25" x14ac:dyDescent="0.25">
      <c r="A203" s="44" t="s">
        <v>1460</v>
      </c>
      <c r="B203" s="44" t="s">
        <v>225</v>
      </c>
      <c r="C203" s="44" t="s">
        <v>1791</v>
      </c>
      <c r="D203" s="44" t="s">
        <v>141</v>
      </c>
      <c r="E203" s="44" t="s">
        <v>134</v>
      </c>
      <c r="F203" s="44">
        <v>17</v>
      </c>
      <c r="G203" s="44" t="s">
        <v>111</v>
      </c>
      <c r="H203" s="44" t="s">
        <v>119</v>
      </c>
      <c r="I203" s="44" t="s">
        <v>629</v>
      </c>
      <c r="J203" s="44">
        <v>9</v>
      </c>
      <c r="K203" s="44">
        <v>0</v>
      </c>
      <c r="L203" s="45"/>
      <c r="M203" s="44">
        <v>1735</v>
      </c>
      <c r="N203" s="46">
        <f t="shared" si="6"/>
        <v>5.1873198847262247E-3</v>
      </c>
      <c r="O203" s="47" t="str">
        <f t="shared" si="7"/>
        <v/>
      </c>
      <c r="P203" s="44">
        <v>48</v>
      </c>
      <c r="Q203" s="44">
        <v>3</v>
      </c>
      <c r="R203" s="44">
        <v>1</v>
      </c>
      <c r="S203" s="44" t="s">
        <v>1067</v>
      </c>
      <c r="T203" s="44" t="s">
        <v>1068</v>
      </c>
      <c r="U203" s="44"/>
      <c r="V203" s="44"/>
      <c r="W203" s="44" t="s">
        <v>1792</v>
      </c>
      <c r="X203" s="48" t="s">
        <v>1793</v>
      </c>
      <c r="Y203" s="44" t="s">
        <v>1794</v>
      </c>
    </row>
    <row r="204" spans="1:25" x14ac:dyDescent="0.25">
      <c r="A204" s="44" t="s">
        <v>1460</v>
      </c>
      <c r="B204" s="44" t="s">
        <v>225</v>
      </c>
      <c r="C204" s="44" t="s">
        <v>1795</v>
      </c>
      <c r="D204" s="44" t="s">
        <v>141</v>
      </c>
      <c r="E204" s="44" t="s">
        <v>132</v>
      </c>
      <c r="F204" s="44">
        <v>17</v>
      </c>
      <c r="G204" s="44" t="s">
        <v>111</v>
      </c>
      <c r="H204" s="44" t="s">
        <v>117</v>
      </c>
      <c r="I204" s="44" t="s">
        <v>656</v>
      </c>
      <c r="J204" s="44">
        <v>9</v>
      </c>
      <c r="K204" s="44">
        <v>0</v>
      </c>
      <c r="L204" s="45"/>
      <c r="M204" s="44">
        <v>1735</v>
      </c>
      <c r="N204" s="46">
        <f t="shared" si="6"/>
        <v>5.1873198847262247E-3</v>
      </c>
      <c r="O204" s="47" t="str">
        <f t="shared" si="7"/>
        <v/>
      </c>
      <c r="P204" s="44">
        <v>71</v>
      </c>
      <c r="Q204" s="44">
        <v>3</v>
      </c>
      <c r="R204" s="44">
        <v>3</v>
      </c>
      <c r="S204" s="44" t="s">
        <v>1067</v>
      </c>
      <c r="T204" s="44" t="s">
        <v>1068</v>
      </c>
      <c r="U204" s="44"/>
      <c r="V204" s="44"/>
      <c r="W204" s="44" t="s">
        <v>1796</v>
      </c>
      <c r="X204" s="48" t="s">
        <v>1797</v>
      </c>
      <c r="Y204" s="44" t="s">
        <v>1798</v>
      </c>
    </row>
    <row r="205" spans="1:25" x14ac:dyDescent="0.25">
      <c r="A205" s="44" t="s">
        <v>1460</v>
      </c>
      <c r="B205" s="44" t="s">
        <v>225</v>
      </c>
      <c r="C205" s="44" t="s">
        <v>1799</v>
      </c>
      <c r="D205" s="44" t="s">
        <v>141</v>
      </c>
      <c r="E205" s="44" t="s">
        <v>128</v>
      </c>
      <c r="F205" s="44">
        <v>17</v>
      </c>
      <c r="G205" s="44" t="s">
        <v>111</v>
      </c>
      <c r="H205" s="44" t="s">
        <v>116</v>
      </c>
      <c r="I205" s="44" t="s">
        <v>629</v>
      </c>
      <c r="J205" s="44">
        <v>10</v>
      </c>
      <c r="K205" s="44">
        <v>0</v>
      </c>
      <c r="L205" s="45"/>
      <c r="M205" s="44">
        <v>1735</v>
      </c>
      <c r="N205" s="46">
        <f t="shared" si="6"/>
        <v>5.763688760806916E-3</v>
      </c>
      <c r="O205" s="47" t="str">
        <f t="shared" si="7"/>
        <v/>
      </c>
      <c r="P205" s="44">
        <v>97</v>
      </c>
      <c r="Q205" s="44">
        <v>3</v>
      </c>
      <c r="R205" s="44">
        <v>2</v>
      </c>
      <c r="S205" s="44" t="s">
        <v>1067</v>
      </c>
      <c r="T205" s="44" t="s">
        <v>1068</v>
      </c>
      <c r="U205" s="44"/>
      <c r="V205" s="44"/>
      <c r="W205" s="44" t="s">
        <v>1800</v>
      </c>
      <c r="X205" s="48" t="s">
        <v>1801</v>
      </c>
      <c r="Y205" s="44" t="s">
        <v>1802</v>
      </c>
    </row>
    <row r="206" spans="1:25" x14ac:dyDescent="0.25">
      <c r="A206" s="44" t="s">
        <v>1460</v>
      </c>
      <c r="B206" s="44" t="s">
        <v>225</v>
      </c>
      <c r="C206" s="44" t="s">
        <v>1803</v>
      </c>
      <c r="D206" s="44" t="s">
        <v>141</v>
      </c>
      <c r="E206" s="44" t="s">
        <v>137</v>
      </c>
      <c r="F206" s="44">
        <v>17</v>
      </c>
      <c r="G206" s="44" t="s">
        <v>111</v>
      </c>
      <c r="H206" s="44" t="s">
        <v>119</v>
      </c>
      <c r="I206" s="44" t="s">
        <v>629</v>
      </c>
      <c r="J206" s="44">
        <v>6</v>
      </c>
      <c r="K206" s="44">
        <v>0</v>
      </c>
      <c r="L206" s="45"/>
      <c r="M206" s="44">
        <v>1735</v>
      </c>
      <c r="N206" s="46">
        <f t="shared" si="6"/>
        <v>3.4582132564841498E-3</v>
      </c>
      <c r="O206" s="47" t="str">
        <f t="shared" si="7"/>
        <v/>
      </c>
      <c r="P206" s="44">
        <v>46</v>
      </c>
      <c r="Q206" s="44">
        <v>3</v>
      </c>
      <c r="R206" s="44">
        <v>0</v>
      </c>
      <c r="S206" s="44" t="s">
        <v>1067</v>
      </c>
      <c r="T206" s="44" t="s">
        <v>1067</v>
      </c>
      <c r="U206" s="44"/>
      <c r="V206" s="44"/>
      <c r="W206" s="44" t="s">
        <v>1804</v>
      </c>
      <c r="X206" s="48" t="s">
        <v>1805</v>
      </c>
      <c r="Y206" s="44" t="s">
        <v>1806</v>
      </c>
    </row>
    <row r="207" spans="1:25" x14ac:dyDescent="0.25">
      <c r="A207" s="44" t="s">
        <v>1460</v>
      </c>
      <c r="B207" s="44" t="s">
        <v>225</v>
      </c>
      <c r="C207" s="44" t="s">
        <v>1807</v>
      </c>
      <c r="D207" s="44" t="s">
        <v>1808</v>
      </c>
      <c r="E207" s="44" t="s">
        <v>132</v>
      </c>
      <c r="F207" s="44">
        <v>17</v>
      </c>
      <c r="G207" s="44" t="s">
        <v>111</v>
      </c>
      <c r="H207" s="44" t="s">
        <v>120</v>
      </c>
      <c r="I207" s="44" t="s">
        <v>656</v>
      </c>
      <c r="J207" s="44">
        <v>8</v>
      </c>
      <c r="K207" s="44">
        <v>0</v>
      </c>
      <c r="L207" s="45"/>
      <c r="M207" s="44">
        <v>1735</v>
      </c>
      <c r="N207" s="46">
        <f t="shared" si="6"/>
        <v>4.6109510086455334E-3</v>
      </c>
      <c r="O207" s="47" t="str">
        <f t="shared" si="7"/>
        <v/>
      </c>
      <c r="P207" s="44">
        <v>40</v>
      </c>
      <c r="Q207" s="44">
        <v>2</v>
      </c>
      <c r="R207" s="44">
        <v>0</v>
      </c>
      <c r="S207" s="44" t="s">
        <v>1067</v>
      </c>
      <c r="T207" s="44" t="s">
        <v>1068</v>
      </c>
      <c r="U207" s="44"/>
      <c r="V207" s="44"/>
      <c r="W207" s="44" t="s">
        <v>1809</v>
      </c>
      <c r="X207" s="48" t="s">
        <v>1810</v>
      </c>
      <c r="Y207" s="44" t="s">
        <v>1811</v>
      </c>
    </row>
    <row r="208" spans="1:25" x14ac:dyDescent="0.25">
      <c r="A208" s="44" t="s">
        <v>1460</v>
      </c>
      <c r="B208" s="44" t="s">
        <v>225</v>
      </c>
      <c r="C208" s="44" t="s">
        <v>1812</v>
      </c>
      <c r="D208" s="44" t="s">
        <v>1808</v>
      </c>
      <c r="E208" s="44" t="s">
        <v>128</v>
      </c>
      <c r="F208" s="44">
        <v>13</v>
      </c>
      <c r="G208" s="44" t="s">
        <v>111</v>
      </c>
      <c r="H208" s="44" t="s">
        <v>120</v>
      </c>
      <c r="I208" s="44" t="s">
        <v>656</v>
      </c>
      <c r="J208" s="44">
        <v>11</v>
      </c>
      <c r="K208" s="44">
        <v>1</v>
      </c>
      <c r="L208" s="45"/>
      <c r="M208" s="44">
        <v>1735</v>
      </c>
      <c r="N208" s="46">
        <f t="shared" si="6"/>
        <v>6.9164265129682996E-3</v>
      </c>
      <c r="O208" s="47" t="str">
        <f t="shared" si="7"/>
        <v/>
      </c>
      <c r="P208" s="44">
        <v>58</v>
      </c>
      <c r="Q208" s="44">
        <v>3</v>
      </c>
      <c r="R208" s="44">
        <v>0</v>
      </c>
      <c r="S208" s="44" t="s">
        <v>1067</v>
      </c>
      <c r="T208" s="44" t="s">
        <v>1068</v>
      </c>
      <c r="U208" s="44"/>
      <c r="V208" s="44"/>
      <c r="W208" s="44" t="s">
        <v>1813</v>
      </c>
      <c r="X208" s="48" t="s">
        <v>1814</v>
      </c>
      <c r="Y208" s="44" t="s">
        <v>1815</v>
      </c>
    </row>
    <row r="209" spans="1:25" x14ac:dyDescent="0.25">
      <c r="A209" s="44" t="s">
        <v>1460</v>
      </c>
      <c r="B209" s="44" t="s">
        <v>225</v>
      </c>
      <c r="C209" s="44" t="s">
        <v>1816</v>
      </c>
      <c r="D209" s="44" t="s">
        <v>1808</v>
      </c>
      <c r="E209" s="44" t="s">
        <v>137</v>
      </c>
      <c r="F209" s="44">
        <v>14</v>
      </c>
      <c r="G209" s="44" t="s">
        <v>111</v>
      </c>
      <c r="H209" s="44" t="s">
        <v>119</v>
      </c>
      <c r="I209" s="44" t="s">
        <v>656</v>
      </c>
      <c r="J209" s="44">
        <v>7</v>
      </c>
      <c r="K209" s="44">
        <v>0</v>
      </c>
      <c r="L209" s="45"/>
      <c r="M209" s="44">
        <v>1735</v>
      </c>
      <c r="N209" s="46">
        <f t="shared" si="6"/>
        <v>4.0345821325648411E-3</v>
      </c>
      <c r="O209" s="47" t="str">
        <f t="shared" si="7"/>
        <v/>
      </c>
      <c r="P209" s="44">
        <v>37</v>
      </c>
      <c r="Q209" s="44">
        <v>0</v>
      </c>
      <c r="R209" s="44">
        <v>1</v>
      </c>
      <c r="S209" s="44" t="s">
        <v>1068</v>
      </c>
      <c r="T209" s="44" t="s">
        <v>1068</v>
      </c>
      <c r="U209" s="44"/>
      <c r="V209" s="44"/>
      <c r="W209" s="44" t="s">
        <v>1817</v>
      </c>
      <c r="X209" s="48" t="s">
        <v>1818</v>
      </c>
      <c r="Y209" s="44" t="s">
        <v>1819</v>
      </c>
    </row>
    <row r="210" spans="1:25" x14ac:dyDescent="0.25">
      <c r="A210" s="44" t="s">
        <v>1460</v>
      </c>
      <c r="B210" s="44" t="s">
        <v>225</v>
      </c>
      <c r="C210" s="44" t="s">
        <v>1820</v>
      </c>
      <c r="D210" s="44" t="s">
        <v>1808</v>
      </c>
      <c r="E210" s="44" t="s">
        <v>136</v>
      </c>
      <c r="F210" s="44">
        <v>17</v>
      </c>
      <c r="G210" s="44" t="s">
        <v>111</v>
      </c>
      <c r="H210" s="44" t="s">
        <v>118</v>
      </c>
      <c r="I210" s="44" t="s">
        <v>656</v>
      </c>
      <c r="J210" s="44">
        <v>7</v>
      </c>
      <c r="K210" s="44">
        <v>0</v>
      </c>
      <c r="L210" s="45"/>
      <c r="M210" s="44">
        <v>1735</v>
      </c>
      <c r="N210" s="46">
        <f t="shared" si="6"/>
        <v>4.0345821325648411E-3</v>
      </c>
      <c r="O210" s="47" t="str">
        <f t="shared" si="7"/>
        <v/>
      </c>
      <c r="P210" s="44">
        <v>61</v>
      </c>
      <c r="Q210" s="44">
        <v>2</v>
      </c>
      <c r="R210" s="44">
        <v>0</v>
      </c>
      <c r="S210" s="44" t="s">
        <v>1067</v>
      </c>
      <c r="T210" s="44" t="s">
        <v>1068</v>
      </c>
      <c r="U210" s="44"/>
      <c r="V210" s="44"/>
      <c r="W210" s="44" t="s">
        <v>1821</v>
      </c>
      <c r="X210" s="48" t="s">
        <v>1822</v>
      </c>
      <c r="Y210" s="44" t="s">
        <v>1823</v>
      </c>
    </row>
    <row r="211" spans="1:25" x14ac:dyDescent="0.25">
      <c r="A211" s="44" t="s">
        <v>1460</v>
      </c>
      <c r="B211" s="44" t="s">
        <v>225</v>
      </c>
      <c r="C211" s="44" t="s">
        <v>1824</v>
      </c>
      <c r="D211" s="44" t="s">
        <v>1808</v>
      </c>
      <c r="E211" s="44" t="s">
        <v>132</v>
      </c>
      <c r="F211" s="44">
        <v>17</v>
      </c>
      <c r="G211" s="44" t="s">
        <v>111</v>
      </c>
      <c r="H211" s="44" t="s">
        <v>118</v>
      </c>
      <c r="I211" s="44" t="s">
        <v>656</v>
      </c>
      <c r="J211" s="44">
        <v>6</v>
      </c>
      <c r="K211" s="44">
        <v>1</v>
      </c>
      <c r="L211" s="45"/>
      <c r="M211" s="44">
        <v>1735</v>
      </c>
      <c r="N211" s="46">
        <f t="shared" si="6"/>
        <v>4.0345821325648411E-3</v>
      </c>
      <c r="O211" s="47" t="str">
        <f t="shared" si="7"/>
        <v/>
      </c>
      <c r="P211" s="44">
        <v>44</v>
      </c>
      <c r="Q211" s="44">
        <v>5</v>
      </c>
      <c r="R211" s="44">
        <v>0</v>
      </c>
      <c r="S211" s="44" t="s">
        <v>1068</v>
      </c>
      <c r="T211" s="44" t="s">
        <v>1068</v>
      </c>
      <c r="U211" s="44"/>
      <c r="V211" s="44"/>
      <c r="W211" s="44" t="s">
        <v>1825</v>
      </c>
      <c r="X211" s="48" t="s">
        <v>1826</v>
      </c>
      <c r="Y211" s="44" t="s">
        <v>1827</v>
      </c>
    </row>
    <row r="212" spans="1:25" x14ac:dyDescent="0.25">
      <c r="A212" s="44" t="s">
        <v>1460</v>
      </c>
      <c r="B212" s="44" t="s">
        <v>225</v>
      </c>
      <c r="C212" s="44" t="s">
        <v>1828</v>
      </c>
      <c r="D212" s="44" t="s">
        <v>1808</v>
      </c>
      <c r="E212" s="44" t="s">
        <v>130</v>
      </c>
      <c r="F212" s="44">
        <v>17</v>
      </c>
      <c r="G212" s="44" t="s">
        <v>111</v>
      </c>
      <c r="H212" s="44" t="s">
        <v>121</v>
      </c>
      <c r="I212" s="44" t="s">
        <v>656</v>
      </c>
      <c r="J212" s="44">
        <v>4</v>
      </c>
      <c r="K212" s="44">
        <v>0</v>
      </c>
      <c r="L212" s="45"/>
      <c r="M212" s="44">
        <v>1735</v>
      </c>
      <c r="N212" s="46">
        <f t="shared" si="6"/>
        <v>2.3054755043227667E-3</v>
      </c>
      <c r="O212" s="47" t="str">
        <f t="shared" si="7"/>
        <v/>
      </c>
      <c r="P212" s="44">
        <v>52</v>
      </c>
      <c r="Q212" s="44">
        <v>3</v>
      </c>
      <c r="R212" s="44">
        <v>0</v>
      </c>
      <c r="S212" s="44" t="s">
        <v>1067</v>
      </c>
      <c r="T212" s="44" t="s">
        <v>1068</v>
      </c>
      <c r="U212" s="44"/>
      <c r="V212" s="44"/>
      <c r="W212" s="44" t="s">
        <v>1829</v>
      </c>
      <c r="X212" s="48" t="s">
        <v>1830</v>
      </c>
      <c r="Y212" s="44" t="s">
        <v>1831</v>
      </c>
    </row>
    <row r="213" spans="1:25" x14ac:dyDescent="0.25">
      <c r="A213" s="44" t="s">
        <v>1460</v>
      </c>
      <c r="B213" s="44" t="s">
        <v>225</v>
      </c>
      <c r="C213" s="44" t="s">
        <v>1832</v>
      </c>
      <c r="D213" s="44" t="s">
        <v>1808</v>
      </c>
      <c r="E213" s="44" t="s">
        <v>134</v>
      </c>
      <c r="F213" s="44">
        <v>17</v>
      </c>
      <c r="G213" s="44" t="s">
        <v>109</v>
      </c>
      <c r="H213" s="44" t="s">
        <v>120</v>
      </c>
      <c r="I213" s="44" t="s">
        <v>656</v>
      </c>
      <c r="J213" s="44">
        <v>7</v>
      </c>
      <c r="K213" s="44">
        <v>0</v>
      </c>
      <c r="L213" s="45"/>
      <c r="M213" s="44">
        <v>1735</v>
      </c>
      <c r="N213" s="46">
        <f t="shared" si="6"/>
        <v>4.0345821325648411E-3</v>
      </c>
      <c r="O213" s="47" t="str">
        <f t="shared" si="7"/>
        <v/>
      </c>
      <c r="P213" s="44">
        <v>74</v>
      </c>
      <c r="Q213" s="44">
        <v>0</v>
      </c>
      <c r="R213" s="44">
        <v>0</v>
      </c>
      <c r="S213" s="44" t="s">
        <v>1067</v>
      </c>
      <c r="T213" s="44" t="s">
        <v>1067</v>
      </c>
      <c r="U213" s="44"/>
      <c r="V213" s="44"/>
      <c r="W213" s="44" t="s">
        <v>1833</v>
      </c>
      <c r="X213" s="48" t="s">
        <v>1834</v>
      </c>
      <c r="Y213" s="44" t="s">
        <v>1835</v>
      </c>
    </row>
    <row r="214" spans="1:25" x14ac:dyDescent="0.25">
      <c r="A214" s="44" t="s">
        <v>1836</v>
      </c>
      <c r="B214" s="44" t="s">
        <v>226</v>
      </c>
      <c r="C214" s="44" t="s">
        <v>1073</v>
      </c>
      <c r="D214" s="44" t="s">
        <v>149</v>
      </c>
      <c r="E214" s="44" t="s">
        <v>134</v>
      </c>
      <c r="F214" s="44">
        <v>16</v>
      </c>
      <c r="G214" s="44" t="s">
        <v>108</v>
      </c>
      <c r="H214" s="44" t="s">
        <v>114</v>
      </c>
      <c r="I214" s="44" t="s">
        <v>656</v>
      </c>
      <c r="J214" s="44">
        <v>456</v>
      </c>
      <c r="K214" s="44">
        <v>6</v>
      </c>
      <c r="L214" s="45">
        <v>31406</v>
      </c>
      <c r="M214" s="44">
        <v>48900</v>
      </c>
      <c r="N214" s="46">
        <f t="shared" si="6"/>
        <v>9.4478527607361959E-3</v>
      </c>
      <c r="O214" s="47">
        <f t="shared" si="7"/>
        <v>0.64224948875255627</v>
      </c>
      <c r="P214" s="44">
        <v>13</v>
      </c>
      <c r="Q214" s="44">
        <v>5</v>
      </c>
      <c r="R214" s="44">
        <v>1</v>
      </c>
      <c r="S214" s="44" t="s">
        <v>1068</v>
      </c>
      <c r="T214" s="44" t="s">
        <v>1068</v>
      </c>
      <c r="U214" s="44"/>
      <c r="V214" s="44"/>
      <c r="W214" s="44" t="s">
        <v>1837</v>
      </c>
      <c r="X214" s="48" t="s">
        <v>1838</v>
      </c>
      <c r="Y214" s="44" t="s">
        <v>1839</v>
      </c>
    </row>
    <row r="215" spans="1:25" x14ac:dyDescent="0.25">
      <c r="A215" s="44" t="s">
        <v>1836</v>
      </c>
      <c r="B215" s="44" t="s">
        <v>226</v>
      </c>
      <c r="C215" s="44" t="s">
        <v>1840</v>
      </c>
      <c r="D215" s="44" t="s">
        <v>149</v>
      </c>
      <c r="E215" s="44" t="s">
        <v>132</v>
      </c>
      <c r="F215" s="44">
        <v>11</v>
      </c>
      <c r="G215" s="44" t="s">
        <v>108</v>
      </c>
      <c r="H215" s="44" t="s">
        <v>121</v>
      </c>
      <c r="I215" s="44" t="s">
        <v>650</v>
      </c>
      <c r="J215" s="44">
        <v>130</v>
      </c>
      <c r="K215" s="44">
        <v>1</v>
      </c>
      <c r="L215" s="45">
        <v>5714</v>
      </c>
      <c r="M215" s="44">
        <v>48900</v>
      </c>
      <c r="N215" s="46">
        <f t="shared" si="6"/>
        <v>2.6789366053169734E-3</v>
      </c>
      <c r="O215" s="47">
        <f t="shared" si="7"/>
        <v>0.11685071574642127</v>
      </c>
      <c r="P215" s="44">
        <v>46</v>
      </c>
      <c r="Q215" s="44">
        <v>5</v>
      </c>
      <c r="R215" s="44">
        <v>3</v>
      </c>
      <c r="S215" s="44" t="s">
        <v>1068</v>
      </c>
      <c r="T215" s="44" t="s">
        <v>1067</v>
      </c>
      <c r="U215" s="44"/>
      <c r="V215" s="44"/>
      <c r="W215" s="44" t="s">
        <v>1841</v>
      </c>
      <c r="X215" s="48" t="s">
        <v>1842</v>
      </c>
      <c r="Y215" s="44" t="s">
        <v>1843</v>
      </c>
    </row>
    <row r="216" spans="1:25" x14ac:dyDescent="0.25">
      <c r="A216" s="44" t="s">
        <v>1836</v>
      </c>
      <c r="B216" s="44" t="s">
        <v>226</v>
      </c>
      <c r="C216" s="44" t="s">
        <v>1844</v>
      </c>
      <c r="D216" s="44" t="s">
        <v>149</v>
      </c>
      <c r="E216" s="44" t="s">
        <v>128</v>
      </c>
      <c r="F216" s="44">
        <v>11</v>
      </c>
      <c r="G216" s="44" t="s">
        <v>108</v>
      </c>
      <c r="H216" s="44" t="s">
        <v>121</v>
      </c>
      <c r="I216" s="44" t="s">
        <v>650</v>
      </c>
      <c r="J216" s="44">
        <v>414</v>
      </c>
      <c r="K216" s="44">
        <v>3</v>
      </c>
      <c r="L216" s="45">
        <v>18635</v>
      </c>
      <c r="M216" s="44">
        <v>48900</v>
      </c>
      <c r="N216" s="46">
        <f t="shared" si="6"/>
        <v>8.5276073619631899E-3</v>
      </c>
      <c r="O216" s="47">
        <f t="shared" si="7"/>
        <v>0.3810838445807771</v>
      </c>
      <c r="P216" s="44">
        <v>85</v>
      </c>
      <c r="Q216" s="44">
        <v>5</v>
      </c>
      <c r="R216" s="44">
        <v>0</v>
      </c>
      <c r="S216" s="44" t="s">
        <v>1067</v>
      </c>
      <c r="T216" s="44" t="s">
        <v>1067</v>
      </c>
      <c r="U216" s="44"/>
      <c r="V216" s="44"/>
      <c r="W216" s="44" t="s">
        <v>1845</v>
      </c>
      <c r="X216" s="48" t="s">
        <v>1846</v>
      </c>
      <c r="Y216" s="44" t="s">
        <v>1847</v>
      </c>
    </row>
    <row r="217" spans="1:25" x14ac:dyDescent="0.25">
      <c r="A217" s="44" t="s">
        <v>1836</v>
      </c>
      <c r="B217" s="44" t="s">
        <v>226</v>
      </c>
      <c r="C217" s="44" t="s">
        <v>1848</v>
      </c>
      <c r="D217" s="44" t="s">
        <v>149</v>
      </c>
      <c r="E217" s="44" t="s">
        <v>134</v>
      </c>
      <c r="F217" s="44">
        <v>19</v>
      </c>
      <c r="G217" s="44" t="s">
        <v>108</v>
      </c>
      <c r="H217" s="44" t="s">
        <v>114</v>
      </c>
      <c r="I217" s="44" t="s">
        <v>656</v>
      </c>
      <c r="J217" s="44">
        <v>824</v>
      </c>
      <c r="K217" s="44">
        <v>5</v>
      </c>
      <c r="L217" s="45">
        <v>34163</v>
      </c>
      <c r="M217" s="44">
        <v>48900</v>
      </c>
      <c r="N217" s="46">
        <f t="shared" si="6"/>
        <v>1.6952965235173825E-2</v>
      </c>
      <c r="O217" s="47">
        <f t="shared" si="7"/>
        <v>0.69862985685071577</v>
      </c>
      <c r="P217" s="44">
        <v>8</v>
      </c>
      <c r="Q217" s="44">
        <v>4</v>
      </c>
      <c r="R217" s="44">
        <v>3</v>
      </c>
      <c r="S217" s="44" t="s">
        <v>1068</v>
      </c>
      <c r="T217" s="44" t="s">
        <v>1068</v>
      </c>
      <c r="U217" s="44"/>
      <c r="V217" s="44"/>
      <c r="W217" s="44" t="s">
        <v>1849</v>
      </c>
      <c r="X217" s="48" t="s">
        <v>1850</v>
      </c>
      <c r="Y217" s="44" t="s">
        <v>1851</v>
      </c>
    </row>
    <row r="218" spans="1:25" x14ac:dyDescent="0.25">
      <c r="A218" s="44" t="s">
        <v>1836</v>
      </c>
      <c r="B218" s="44" t="s">
        <v>226</v>
      </c>
      <c r="C218" s="44" t="s">
        <v>1474</v>
      </c>
      <c r="D218" s="44" t="s">
        <v>149</v>
      </c>
      <c r="E218" s="44" t="s">
        <v>132</v>
      </c>
      <c r="F218" s="44">
        <v>13</v>
      </c>
      <c r="G218" s="44" t="s">
        <v>108</v>
      </c>
      <c r="H218" s="44" t="s">
        <v>121</v>
      </c>
      <c r="I218" s="44" t="s">
        <v>650</v>
      </c>
      <c r="J218" s="44">
        <v>490</v>
      </c>
      <c r="K218" s="44">
        <v>2</v>
      </c>
      <c r="L218" s="45">
        <v>26086</v>
      </c>
      <c r="M218" s="44">
        <v>48900</v>
      </c>
      <c r="N218" s="46">
        <f t="shared" si="6"/>
        <v>1.0061349693251533E-2</v>
      </c>
      <c r="O218" s="47">
        <f t="shared" si="7"/>
        <v>0.53345603271983644</v>
      </c>
      <c r="P218" s="44">
        <v>55</v>
      </c>
      <c r="Q218" s="44">
        <v>5</v>
      </c>
      <c r="R218" s="44">
        <v>0</v>
      </c>
      <c r="S218" s="44" t="s">
        <v>1067</v>
      </c>
      <c r="T218" s="44" t="s">
        <v>1067</v>
      </c>
      <c r="U218" s="44"/>
      <c r="V218" s="44"/>
      <c r="W218" s="44" t="s">
        <v>1852</v>
      </c>
      <c r="X218" s="48" t="s">
        <v>1853</v>
      </c>
      <c r="Y218" s="44" t="s">
        <v>1854</v>
      </c>
    </row>
    <row r="219" spans="1:25" x14ac:dyDescent="0.25">
      <c r="A219" s="44" t="s">
        <v>1836</v>
      </c>
      <c r="B219" s="44" t="s">
        <v>226</v>
      </c>
      <c r="C219" s="44" t="s">
        <v>1086</v>
      </c>
      <c r="D219" s="44" t="s">
        <v>148</v>
      </c>
      <c r="E219" s="44" t="s">
        <v>128</v>
      </c>
      <c r="F219" s="44">
        <v>11</v>
      </c>
      <c r="G219" s="44" t="s">
        <v>108</v>
      </c>
      <c r="H219" s="44" t="s">
        <v>121</v>
      </c>
      <c r="I219" s="44" t="s">
        <v>650</v>
      </c>
      <c r="J219" s="44">
        <v>908</v>
      </c>
      <c r="K219" s="44">
        <v>8</v>
      </c>
      <c r="L219" s="45">
        <v>38091</v>
      </c>
      <c r="M219" s="44">
        <v>48900</v>
      </c>
      <c r="N219" s="46">
        <f t="shared" si="6"/>
        <v>1.8732106339468303E-2</v>
      </c>
      <c r="O219" s="47">
        <f t="shared" si="7"/>
        <v>0.77895705521472391</v>
      </c>
      <c r="P219" s="44">
        <v>29</v>
      </c>
      <c r="Q219" s="44">
        <v>5</v>
      </c>
      <c r="R219" s="44">
        <v>0</v>
      </c>
      <c r="S219" s="44" t="s">
        <v>1068</v>
      </c>
      <c r="T219" s="44" t="s">
        <v>1067</v>
      </c>
      <c r="U219" s="44"/>
      <c r="V219" s="44"/>
      <c r="W219" s="44" t="s">
        <v>1855</v>
      </c>
      <c r="X219" s="48" t="s">
        <v>1856</v>
      </c>
      <c r="Y219" s="44" t="s">
        <v>1857</v>
      </c>
    </row>
    <row r="220" spans="1:25" x14ac:dyDescent="0.25">
      <c r="A220" s="44" t="s">
        <v>1836</v>
      </c>
      <c r="B220" s="44" t="s">
        <v>226</v>
      </c>
      <c r="C220" s="44" t="s">
        <v>1099</v>
      </c>
      <c r="D220" s="44" t="s">
        <v>148</v>
      </c>
      <c r="E220" s="44" t="s">
        <v>134</v>
      </c>
      <c r="F220" s="44">
        <v>11</v>
      </c>
      <c r="G220" s="44" t="s">
        <v>108</v>
      </c>
      <c r="H220" s="44" t="s">
        <v>114</v>
      </c>
      <c r="I220" s="44" t="s">
        <v>650</v>
      </c>
      <c r="J220" s="44">
        <v>354</v>
      </c>
      <c r="K220" s="44">
        <v>2</v>
      </c>
      <c r="L220" s="45">
        <v>34761</v>
      </c>
      <c r="M220" s="44">
        <v>48900</v>
      </c>
      <c r="N220" s="46">
        <f t="shared" si="6"/>
        <v>7.2801635991820044E-3</v>
      </c>
      <c r="O220" s="47">
        <f t="shared" si="7"/>
        <v>0.71085889570552152</v>
      </c>
      <c r="P220" s="44">
        <v>15</v>
      </c>
      <c r="Q220" s="44">
        <v>5</v>
      </c>
      <c r="R220" s="44">
        <v>1</v>
      </c>
      <c r="S220" s="44" t="s">
        <v>1068</v>
      </c>
      <c r="T220" s="44" t="s">
        <v>1067</v>
      </c>
      <c r="U220" s="44"/>
      <c r="V220" s="44"/>
      <c r="W220" s="44" t="s">
        <v>1858</v>
      </c>
      <c r="X220" s="48" t="s">
        <v>1859</v>
      </c>
      <c r="Y220" s="44" t="s">
        <v>1860</v>
      </c>
    </row>
    <row r="221" spans="1:25" x14ac:dyDescent="0.25">
      <c r="A221" s="44" t="s">
        <v>1836</v>
      </c>
      <c r="B221" s="44" t="s">
        <v>226</v>
      </c>
      <c r="C221" s="44" t="s">
        <v>1486</v>
      </c>
      <c r="D221" s="44" t="s">
        <v>148</v>
      </c>
      <c r="E221" s="44" t="s">
        <v>132</v>
      </c>
      <c r="F221" s="44">
        <v>9</v>
      </c>
      <c r="G221" s="44" t="s">
        <v>108</v>
      </c>
      <c r="H221" s="44" t="s">
        <v>121</v>
      </c>
      <c r="I221" s="44" t="s">
        <v>650</v>
      </c>
      <c r="J221" s="44">
        <v>286</v>
      </c>
      <c r="K221" s="44">
        <v>4</v>
      </c>
      <c r="L221" s="45">
        <v>10288</v>
      </c>
      <c r="M221" s="44">
        <v>48900</v>
      </c>
      <c r="N221" s="46">
        <f t="shared" si="6"/>
        <v>5.9304703476482619E-3</v>
      </c>
      <c r="O221" s="47">
        <f t="shared" si="7"/>
        <v>0.21038854805725971</v>
      </c>
      <c r="P221" s="44">
        <v>45</v>
      </c>
      <c r="Q221" s="44">
        <v>5</v>
      </c>
      <c r="R221" s="44">
        <v>0</v>
      </c>
      <c r="S221" s="44" t="s">
        <v>1068</v>
      </c>
      <c r="T221" s="44" t="s">
        <v>1067</v>
      </c>
      <c r="U221" s="44"/>
      <c r="V221" s="44"/>
      <c r="W221" s="44" t="s">
        <v>1861</v>
      </c>
      <c r="X221" s="48" t="s">
        <v>1862</v>
      </c>
      <c r="Y221" s="44" t="s">
        <v>1863</v>
      </c>
    </row>
    <row r="222" spans="1:25" x14ac:dyDescent="0.25">
      <c r="A222" s="44" t="s">
        <v>1836</v>
      </c>
      <c r="B222" s="44" t="s">
        <v>226</v>
      </c>
      <c r="C222" s="44" t="s">
        <v>1490</v>
      </c>
      <c r="D222" s="44" t="s">
        <v>148</v>
      </c>
      <c r="E222" s="44" t="s">
        <v>128</v>
      </c>
      <c r="F222" s="44">
        <v>11</v>
      </c>
      <c r="G222" s="44" t="s">
        <v>108</v>
      </c>
      <c r="H222" s="44" t="s">
        <v>121</v>
      </c>
      <c r="I222" s="44" t="s">
        <v>650</v>
      </c>
      <c r="J222" s="44">
        <v>810</v>
      </c>
      <c r="K222" s="44">
        <v>4</v>
      </c>
      <c r="L222" s="45">
        <v>32929</v>
      </c>
      <c r="M222" s="44">
        <v>48900</v>
      </c>
      <c r="N222" s="46">
        <f t="shared" si="6"/>
        <v>1.6646216768916155E-2</v>
      </c>
      <c r="O222" s="47">
        <f t="shared" si="7"/>
        <v>0.67339468302658489</v>
      </c>
      <c r="P222" s="44">
        <v>56</v>
      </c>
      <c r="Q222" s="44">
        <v>7</v>
      </c>
      <c r="R222" s="44">
        <v>0</v>
      </c>
      <c r="S222" s="44" t="s">
        <v>1067</v>
      </c>
      <c r="T222" s="44" t="s">
        <v>1067</v>
      </c>
      <c r="U222" s="44"/>
      <c r="V222" s="44"/>
      <c r="W222" s="44" t="s">
        <v>1864</v>
      </c>
      <c r="X222" s="48" t="s">
        <v>1865</v>
      </c>
      <c r="Y222" s="44" t="s">
        <v>1866</v>
      </c>
    </row>
    <row r="223" spans="1:25" x14ac:dyDescent="0.25">
      <c r="A223" s="44" t="s">
        <v>1836</v>
      </c>
      <c r="B223" s="44" t="s">
        <v>226</v>
      </c>
      <c r="C223" s="44" t="s">
        <v>192</v>
      </c>
      <c r="D223" s="44" t="s">
        <v>148</v>
      </c>
      <c r="E223" s="44" t="s">
        <v>134</v>
      </c>
      <c r="F223" s="44">
        <v>9</v>
      </c>
      <c r="G223" s="44" t="s">
        <v>108</v>
      </c>
      <c r="H223" s="44" t="s">
        <v>114</v>
      </c>
      <c r="I223" s="44" t="s">
        <v>656</v>
      </c>
      <c r="J223" s="44">
        <v>567</v>
      </c>
      <c r="K223" s="44">
        <v>6</v>
      </c>
      <c r="L223" s="45">
        <v>34704</v>
      </c>
      <c r="M223" s="44">
        <v>48900</v>
      </c>
      <c r="N223" s="46">
        <f t="shared" si="6"/>
        <v>1.1717791411042944E-2</v>
      </c>
      <c r="O223" s="47">
        <f t="shared" si="7"/>
        <v>0.7096932515337423</v>
      </c>
      <c r="P223" s="44">
        <v>9</v>
      </c>
      <c r="Q223" s="44">
        <v>5</v>
      </c>
      <c r="R223" s="44">
        <v>1</v>
      </c>
      <c r="S223" s="44" t="s">
        <v>1068</v>
      </c>
      <c r="T223" s="44" t="s">
        <v>1068</v>
      </c>
      <c r="U223" s="44"/>
      <c r="V223" s="44"/>
      <c r="W223" s="44" t="s">
        <v>1867</v>
      </c>
      <c r="X223" s="48" t="s">
        <v>1868</v>
      </c>
      <c r="Y223" s="44" t="s">
        <v>1869</v>
      </c>
    </row>
    <row r="224" spans="1:25" x14ac:dyDescent="0.25">
      <c r="A224" s="44" t="s">
        <v>1836</v>
      </c>
      <c r="B224" s="44" t="s">
        <v>226</v>
      </c>
      <c r="C224" s="44" t="s">
        <v>1497</v>
      </c>
      <c r="D224" s="44" t="s">
        <v>148</v>
      </c>
      <c r="E224" s="44" t="s">
        <v>132</v>
      </c>
      <c r="F224" s="44">
        <v>9</v>
      </c>
      <c r="G224" s="44" t="s">
        <v>108</v>
      </c>
      <c r="H224" s="44" t="s">
        <v>121</v>
      </c>
      <c r="I224" s="44" t="s">
        <v>650</v>
      </c>
      <c r="J224" s="44">
        <v>210</v>
      </c>
      <c r="K224" s="44">
        <v>7</v>
      </c>
      <c r="L224" s="45">
        <v>12887</v>
      </c>
      <c r="M224" s="44">
        <v>48900</v>
      </c>
      <c r="N224" s="46">
        <f t="shared" si="6"/>
        <v>4.4376278118609409E-3</v>
      </c>
      <c r="O224" s="47">
        <f t="shared" si="7"/>
        <v>0.26353783231083844</v>
      </c>
      <c r="P224" s="44">
        <v>51</v>
      </c>
      <c r="Q224" s="44">
        <v>5</v>
      </c>
      <c r="R224" s="44">
        <v>0</v>
      </c>
      <c r="S224" s="44" t="s">
        <v>1067</v>
      </c>
      <c r="T224" s="44" t="s">
        <v>1067</v>
      </c>
      <c r="U224" s="44"/>
      <c r="V224" s="44"/>
      <c r="W224" s="44" t="s">
        <v>1870</v>
      </c>
      <c r="X224" s="48" t="s">
        <v>1871</v>
      </c>
      <c r="Y224" s="44" t="s">
        <v>1872</v>
      </c>
    </row>
    <row r="225" spans="1:25" x14ac:dyDescent="0.25">
      <c r="A225" s="44" t="s">
        <v>1836</v>
      </c>
      <c r="B225" s="44" t="s">
        <v>226</v>
      </c>
      <c r="C225" s="44" t="s">
        <v>1122</v>
      </c>
      <c r="D225" s="44" t="s">
        <v>148</v>
      </c>
      <c r="E225" s="44" t="s">
        <v>128</v>
      </c>
      <c r="F225" s="44">
        <v>13</v>
      </c>
      <c r="G225" s="44" t="s">
        <v>108</v>
      </c>
      <c r="H225" s="44" t="s">
        <v>121</v>
      </c>
      <c r="I225" s="44" t="s">
        <v>650</v>
      </c>
      <c r="J225" s="44">
        <v>137</v>
      </c>
      <c r="K225" s="44">
        <v>0</v>
      </c>
      <c r="L225" s="45">
        <v>10179</v>
      </c>
      <c r="M225" s="44">
        <v>48900</v>
      </c>
      <c r="N225" s="46">
        <f t="shared" si="6"/>
        <v>2.8016359918200408E-3</v>
      </c>
      <c r="O225" s="47">
        <f t="shared" si="7"/>
        <v>0.20815950920245399</v>
      </c>
      <c r="P225" s="44">
        <v>75</v>
      </c>
      <c r="Q225" s="44">
        <v>7</v>
      </c>
      <c r="R225" s="44">
        <v>0</v>
      </c>
      <c r="S225" s="44" t="s">
        <v>1067</v>
      </c>
      <c r="T225" s="44" t="s">
        <v>1067</v>
      </c>
      <c r="U225" s="44"/>
      <c r="V225" s="44"/>
      <c r="W225" s="44" t="s">
        <v>1873</v>
      </c>
      <c r="X225" s="48" t="s">
        <v>1874</v>
      </c>
      <c r="Y225" s="44" t="s">
        <v>1875</v>
      </c>
    </row>
    <row r="226" spans="1:25" x14ac:dyDescent="0.25">
      <c r="A226" s="44" t="s">
        <v>1836</v>
      </c>
      <c r="B226" s="44" t="s">
        <v>226</v>
      </c>
      <c r="C226" s="44" t="s">
        <v>1127</v>
      </c>
      <c r="D226" s="44" t="s">
        <v>148</v>
      </c>
      <c r="E226" s="44" t="s">
        <v>134</v>
      </c>
      <c r="F226" s="44">
        <v>10</v>
      </c>
      <c r="G226" s="44" t="s">
        <v>108</v>
      </c>
      <c r="H226" s="44" t="s">
        <v>114</v>
      </c>
      <c r="I226" s="44" t="s">
        <v>656</v>
      </c>
      <c r="J226" s="44">
        <v>371</v>
      </c>
      <c r="K226" s="44">
        <v>0</v>
      </c>
      <c r="L226" s="45">
        <v>48349</v>
      </c>
      <c r="M226" s="44">
        <v>48900</v>
      </c>
      <c r="N226" s="46">
        <f t="shared" si="6"/>
        <v>7.5869120654396731E-3</v>
      </c>
      <c r="O226" s="47">
        <f t="shared" si="7"/>
        <v>0.98873210633946829</v>
      </c>
      <c r="P226" s="44">
        <v>17</v>
      </c>
      <c r="Q226" s="44">
        <v>5</v>
      </c>
      <c r="R226" s="44">
        <v>1</v>
      </c>
      <c r="S226" s="44" t="s">
        <v>1068</v>
      </c>
      <c r="T226" s="44" t="s">
        <v>1068</v>
      </c>
      <c r="U226" s="44"/>
      <c r="V226" s="44"/>
      <c r="W226" s="44" t="s">
        <v>1876</v>
      </c>
      <c r="X226" s="48" t="s">
        <v>1877</v>
      </c>
      <c r="Y226" s="44" t="s">
        <v>1878</v>
      </c>
    </row>
    <row r="227" spans="1:25" x14ac:dyDescent="0.25">
      <c r="A227" s="44" t="s">
        <v>1836</v>
      </c>
      <c r="B227" s="44" t="s">
        <v>226</v>
      </c>
      <c r="C227" s="44" t="s">
        <v>1131</v>
      </c>
      <c r="D227" s="44" t="s">
        <v>148</v>
      </c>
      <c r="E227" s="44" t="s">
        <v>132</v>
      </c>
      <c r="F227" s="44">
        <v>11</v>
      </c>
      <c r="G227" s="44" t="s">
        <v>108</v>
      </c>
      <c r="H227" s="44" t="s">
        <v>119</v>
      </c>
      <c r="I227" s="44" t="s">
        <v>629</v>
      </c>
      <c r="J227" s="44">
        <v>1264</v>
      </c>
      <c r="K227" s="44">
        <v>70</v>
      </c>
      <c r="L227" s="45">
        <v>46990</v>
      </c>
      <c r="M227" s="44">
        <v>48900</v>
      </c>
      <c r="N227" s="46">
        <f t="shared" si="6"/>
        <v>2.7280163599182006E-2</v>
      </c>
      <c r="O227" s="47">
        <f t="shared" si="7"/>
        <v>0.96094069529652348</v>
      </c>
      <c r="P227" s="44">
        <v>39</v>
      </c>
      <c r="Q227" s="44">
        <v>5</v>
      </c>
      <c r="R227" s="44">
        <v>0</v>
      </c>
      <c r="S227" s="44" t="s">
        <v>1068</v>
      </c>
      <c r="T227" s="44" t="s">
        <v>1068</v>
      </c>
      <c r="U227" s="44"/>
      <c r="V227" s="44" t="s">
        <v>1879</v>
      </c>
      <c r="W227" s="44" t="s">
        <v>1880</v>
      </c>
      <c r="X227" s="48" t="s">
        <v>1881</v>
      </c>
      <c r="Y227" s="44" t="s">
        <v>1882</v>
      </c>
    </row>
    <row r="228" spans="1:25" x14ac:dyDescent="0.25">
      <c r="A228" s="44" t="s">
        <v>1836</v>
      </c>
      <c r="B228" s="44" t="s">
        <v>226</v>
      </c>
      <c r="C228" s="44" t="s">
        <v>1135</v>
      </c>
      <c r="D228" s="44" t="s">
        <v>148</v>
      </c>
      <c r="E228" s="44" t="s">
        <v>128</v>
      </c>
      <c r="F228" s="44">
        <v>11</v>
      </c>
      <c r="G228" s="44" t="s">
        <v>108</v>
      </c>
      <c r="H228" s="44" t="s">
        <v>121</v>
      </c>
      <c r="I228" s="44" t="s">
        <v>650</v>
      </c>
      <c r="J228" s="44">
        <v>2202</v>
      </c>
      <c r="K228" s="44">
        <v>36</v>
      </c>
      <c r="L228" s="45">
        <v>125130</v>
      </c>
      <c r="M228" s="44">
        <v>48900</v>
      </c>
      <c r="N228" s="46">
        <f t="shared" si="6"/>
        <v>4.5766871165644173E-2</v>
      </c>
      <c r="O228" s="47">
        <f t="shared" si="7"/>
        <v>2.5588957055214725</v>
      </c>
      <c r="P228" s="44">
        <v>52</v>
      </c>
      <c r="Q228" s="44">
        <v>6</v>
      </c>
      <c r="R228" s="44">
        <v>0</v>
      </c>
      <c r="S228" s="44" t="s">
        <v>1067</v>
      </c>
      <c r="T228" s="44" t="s">
        <v>1067</v>
      </c>
      <c r="U228" s="44"/>
      <c r="V228" s="44"/>
      <c r="W228" s="44" t="s">
        <v>303</v>
      </c>
      <c r="X228" s="48" t="s">
        <v>1883</v>
      </c>
      <c r="Y228" s="44" t="s">
        <v>1884</v>
      </c>
    </row>
    <row r="229" spans="1:25" x14ac:dyDescent="0.25">
      <c r="A229" s="44" t="s">
        <v>1836</v>
      </c>
      <c r="B229" s="44" t="s">
        <v>226</v>
      </c>
      <c r="C229" s="44" t="s">
        <v>1142</v>
      </c>
      <c r="D229" s="44" t="s">
        <v>148</v>
      </c>
      <c r="E229" s="44" t="s">
        <v>126</v>
      </c>
      <c r="F229" s="44">
        <v>11</v>
      </c>
      <c r="G229" s="44" t="s">
        <v>108</v>
      </c>
      <c r="H229" s="44" t="s">
        <v>122</v>
      </c>
      <c r="I229" s="44" t="s">
        <v>656</v>
      </c>
      <c r="J229" s="44">
        <v>87</v>
      </c>
      <c r="K229" s="44">
        <v>3</v>
      </c>
      <c r="L229" s="45">
        <v>4294</v>
      </c>
      <c r="M229" s="44">
        <v>48900</v>
      </c>
      <c r="N229" s="46">
        <f t="shared" si="6"/>
        <v>1.8404907975460123E-3</v>
      </c>
      <c r="O229" s="47">
        <f t="shared" si="7"/>
        <v>8.7811860940695291E-2</v>
      </c>
      <c r="P229" s="44">
        <v>22</v>
      </c>
      <c r="Q229" s="44">
        <v>5</v>
      </c>
      <c r="R229" s="44">
        <v>0</v>
      </c>
      <c r="S229" s="44" t="s">
        <v>1068</v>
      </c>
      <c r="T229" s="44" t="s">
        <v>1068</v>
      </c>
      <c r="U229" s="44"/>
      <c r="V229" s="44"/>
      <c r="W229" s="44" t="s">
        <v>1885</v>
      </c>
      <c r="X229" s="48" t="s">
        <v>1886</v>
      </c>
      <c r="Y229" s="44" t="s">
        <v>1887</v>
      </c>
    </row>
    <row r="230" spans="1:25" x14ac:dyDescent="0.25">
      <c r="A230" s="44" t="s">
        <v>1836</v>
      </c>
      <c r="B230" s="44" t="s">
        <v>226</v>
      </c>
      <c r="C230" s="44" t="s">
        <v>1146</v>
      </c>
      <c r="D230" s="44" t="s">
        <v>148</v>
      </c>
      <c r="E230" s="44" t="s">
        <v>134</v>
      </c>
      <c r="F230" s="44">
        <v>11</v>
      </c>
      <c r="G230" s="44" t="s">
        <v>108</v>
      </c>
      <c r="H230" s="44" t="s">
        <v>114</v>
      </c>
      <c r="I230" s="44" t="s">
        <v>656</v>
      </c>
      <c r="J230" s="44">
        <v>384</v>
      </c>
      <c r="K230" s="44">
        <v>0</v>
      </c>
      <c r="L230" s="45">
        <v>31389</v>
      </c>
      <c r="M230" s="44">
        <v>48900</v>
      </c>
      <c r="N230" s="46">
        <f t="shared" si="6"/>
        <v>7.8527607361963195E-3</v>
      </c>
      <c r="O230" s="47">
        <f t="shared" si="7"/>
        <v>0.64190184049079757</v>
      </c>
      <c r="P230" s="44">
        <v>14</v>
      </c>
      <c r="Q230" s="44">
        <v>5</v>
      </c>
      <c r="R230" s="44">
        <v>1</v>
      </c>
      <c r="S230" s="44" t="s">
        <v>1068</v>
      </c>
      <c r="T230" s="44" t="s">
        <v>1068</v>
      </c>
      <c r="U230" s="44"/>
      <c r="V230" s="44"/>
      <c r="W230" s="44" t="s">
        <v>1888</v>
      </c>
      <c r="X230" s="48" t="s">
        <v>1889</v>
      </c>
      <c r="Y230" s="44" t="s">
        <v>1890</v>
      </c>
    </row>
    <row r="231" spans="1:25" x14ac:dyDescent="0.25">
      <c r="A231" s="44" t="s">
        <v>1836</v>
      </c>
      <c r="B231" s="44" t="s">
        <v>226</v>
      </c>
      <c r="C231" s="44" t="s">
        <v>1150</v>
      </c>
      <c r="D231" s="44" t="s">
        <v>148</v>
      </c>
      <c r="E231" s="44" t="s">
        <v>132</v>
      </c>
      <c r="F231" s="44">
        <v>11</v>
      </c>
      <c r="G231" s="44" t="s">
        <v>108</v>
      </c>
      <c r="H231" s="44" t="s">
        <v>121</v>
      </c>
      <c r="I231" s="44" t="s">
        <v>650</v>
      </c>
      <c r="J231" s="44">
        <v>133</v>
      </c>
      <c r="K231" s="44">
        <v>0</v>
      </c>
      <c r="L231" s="45">
        <v>8141</v>
      </c>
      <c r="M231" s="44">
        <v>48900</v>
      </c>
      <c r="N231" s="46">
        <f t="shared" si="6"/>
        <v>2.7198364008179958E-3</v>
      </c>
      <c r="O231" s="47">
        <f t="shared" si="7"/>
        <v>0.16648261758691207</v>
      </c>
      <c r="P231" s="44">
        <v>70</v>
      </c>
      <c r="Q231" s="44">
        <v>6</v>
      </c>
      <c r="R231" s="44">
        <v>0</v>
      </c>
      <c r="S231" s="44" t="s">
        <v>1067</v>
      </c>
      <c r="T231" s="44" t="s">
        <v>1067</v>
      </c>
      <c r="U231" s="44"/>
      <c r="V231" s="44"/>
      <c r="W231" s="44" t="s">
        <v>1891</v>
      </c>
      <c r="X231" s="48" t="s">
        <v>1892</v>
      </c>
      <c r="Y231" s="44" t="s">
        <v>1893</v>
      </c>
    </row>
    <row r="232" spans="1:25" x14ac:dyDescent="0.25">
      <c r="A232" s="44" t="s">
        <v>1836</v>
      </c>
      <c r="B232" s="44" t="s">
        <v>226</v>
      </c>
      <c r="C232" s="44" t="s">
        <v>1523</v>
      </c>
      <c r="D232" s="44" t="s">
        <v>148</v>
      </c>
      <c r="E232" s="44" t="s">
        <v>128</v>
      </c>
      <c r="F232" s="44">
        <v>11</v>
      </c>
      <c r="G232" s="44" t="s">
        <v>108</v>
      </c>
      <c r="H232" s="44" t="s">
        <v>121</v>
      </c>
      <c r="I232" s="44" t="s">
        <v>650</v>
      </c>
      <c r="J232" s="44">
        <v>265</v>
      </c>
      <c r="K232" s="44">
        <v>0</v>
      </c>
      <c r="L232" s="45">
        <v>11832</v>
      </c>
      <c r="M232" s="44">
        <v>48900</v>
      </c>
      <c r="N232" s="46">
        <f t="shared" si="6"/>
        <v>5.4192229038854808E-3</v>
      </c>
      <c r="O232" s="47">
        <f t="shared" si="7"/>
        <v>0.24196319018404908</v>
      </c>
      <c r="P232" s="44">
        <v>71</v>
      </c>
      <c r="Q232" s="44">
        <v>5</v>
      </c>
      <c r="R232" s="44">
        <v>3</v>
      </c>
      <c r="S232" s="44" t="s">
        <v>1068</v>
      </c>
      <c r="T232" s="44" t="s">
        <v>1067</v>
      </c>
      <c r="U232" s="44"/>
      <c r="V232" s="44"/>
      <c r="W232" s="44" t="s">
        <v>1894</v>
      </c>
      <c r="X232" s="48" t="s">
        <v>1895</v>
      </c>
      <c r="Y232" s="44" t="s">
        <v>1896</v>
      </c>
    </row>
    <row r="233" spans="1:25" x14ac:dyDescent="0.25">
      <c r="A233" s="44" t="s">
        <v>1836</v>
      </c>
      <c r="B233" s="44" t="s">
        <v>226</v>
      </c>
      <c r="C233" s="44" t="s">
        <v>1897</v>
      </c>
      <c r="D233" s="44" t="s">
        <v>147</v>
      </c>
      <c r="E233" s="44" t="s">
        <v>126</v>
      </c>
      <c r="F233" s="44">
        <v>16</v>
      </c>
      <c r="G233" s="44" t="s">
        <v>109</v>
      </c>
      <c r="H233" s="44" t="s">
        <v>117</v>
      </c>
      <c r="I233" s="44" t="s">
        <v>629</v>
      </c>
      <c r="J233" s="44">
        <v>103</v>
      </c>
      <c r="K233" s="44">
        <v>2</v>
      </c>
      <c r="L233" s="45"/>
      <c r="M233" s="44">
        <v>48900</v>
      </c>
      <c r="N233" s="46">
        <f t="shared" si="6"/>
        <v>2.1472392638036812E-3</v>
      </c>
      <c r="O233" s="47" t="str">
        <f t="shared" si="7"/>
        <v/>
      </c>
      <c r="P233" s="44">
        <v>80</v>
      </c>
      <c r="Q233" s="44">
        <v>3</v>
      </c>
      <c r="R233" s="44">
        <v>0</v>
      </c>
      <c r="S233" s="44" t="s">
        <v>1067</v>
      </c>
      <c r="T233" s="44" t="s">
        <v>1068</v>
      </c>
      <c r="U233" s="44"/>
      <c r="V233" s="44"/>
      <c r="W233" s="44" t="s">
        <v>1898</v>
      </c>
      <c r="X233" s="48" t="s">
        <v>1899</v>
      </c>
      <c r="Y233" s="44" t="s">
        <v>1900</v>
      </c>
    </row>
    <row r="234" spans="1:25" x14ac:dyDescent="0.25">
      <c r="A234" s="44" t="s">
        <v>1836</v>
      </c>
      <c r="B234" s="44" t="s">
        <v>226</v>
      </c>
      <c r="C234" s="44" t="s">
        <v>1897</v>
      </c>
      <c r="D234" s="44" t="s">
        <v>147</v>
      </c>
      <c r="E234" s="44" t="s">
        <v>126</v>
      </c>
      <c r="F234" s="44">
        <v>9</v>
      </c>
      <c r="G234" s="44" t="s">
        <v>108</v>
      </c>
      <c r="H234" s="44" t="s">
        <v>114</v>
      </c>
      <c r="I234" s="44" t="s">
        <v>656</v>
      </c>
      <c r="J234" s="44">
        <v>83</v>
      </c>
      <c r="K234" s="44">
        <v>11</v>
      </c>
      <c r="L234" s="45">
        <v>4275</v>
      </c>
      <c r="M234" s="44">
        <v>48900</v>
      </c>
      <c r="N234" s="46">
        <f t="shared" si="6"/>
        <v>1.9222903885480573E-3</v>
      </c>
      <c r="O234" s="47">
        <f t="shared" si="7"/>
        <v>8.7423312883435578E-2</v>
      </c>
      <c r="P234" s="44">
        <v>15</v>
      </c>
      <c r="Q234" s="44">
        <v>5</v>
      </c>
      <c r="R234" s="44">
        <v>1</v>
      </c>
      <c r="S234" s="44" t="s">
        <v>1068</v>
      </c>
      <c r="T234" s="44" t="s">
        <v>1068</v>
      </c>
      <c r="U234" s="44"/>
      <c r="V234" s="44"/>
      <c r="W234" s="44" t="s">
        <v>1901</v>
      </c>
      <c r="X234" s="48" t="s">
        <v>1902</v>
      </c>
      <c r="Y234" s="44" t="s">
        <v>1903</v>
      </c>
    </row>
    <row r="235" spans="1:25" x14ac:dyDescent="0.25">
      <c r="A235" s="44" t="s">
        <v>1836</v>
      </c>
      <c r="B235" s="44" t="s">
        <v>226</v>
      </c>
      <c r="C235" s="44" t="s">
        <v>1159</v>
      </c>
      <c r="D235" s="44" t="s">
        <v>147</v>
      </c>
      <c r="E235" s="44" t="s">
        <v>134</v>
      </c>
      <c r="F235" s="44">
        <v>11</v>
      </c>
      <c r="G235" s="44" t="s">
        <v>108</v>
      </c>
      <c r="H235" s="44" t="s">
        <v>122</v>
      </c>
      <c r="I235" s="44" t="s">
        <v>656</v>
      </c>
      <c r="J235" s="44">
        <v>550</v>
      </c>
      <c r="K235" s="44">
        <v>1</v>
      </c>
      <c r="L235" s="45">
        <v>42729</v>
      </c>
      <c r="M235" s="44">
        <v>48900</v>
      </c>
      <c r="N235" s="46">
        <f t="shared" si="6"/>
        <v>1.1267893660531698E-2</v>
      </c>
      <c r="O235" s="47">
        <f t="shared" si="7"/>
        <v>0.87380368098159511</v>
      </c>
      <c r="P235" s="44">
        <v>8</v>
      </c>
      <c r="Q235" s="44">
        <v>4</v>
      </c>
      <c r="R235" s="44">
        <v>1</v>
      </c>
      <c r="S235" s="44" t="s">
        <v>1068</v>
      </c>
      <c r="T235" s="44" t="s">
        <v>1068</v>
      </c>
      <c r="U235" s="44"/>
      <c r="V235" s="44"/>
      <c r="W235" s="44" t="s">
        <v>1904</v>
      </c>
      <c r="X235" s="48" t="s">
        <v>1905</v>
      </c>
      <c r="Y235" s="44" t="s">
        <v>1906</v>
      </c>
    </row>
    <row r="236" spans="1:25" x14ac:dyDescent="0.25">
      <c r="A236" s="44" t="s">
        <v>1836</v>
      </c>
      <c r="B236" s="44" t="s">
        <v>226</v>
      </c>
      <c r="C236" s="44" t="s">
        <v>1527</v>
      </c>
      <c r="D236" s="44" t="s">
        <v>147</v>
      </c>
      <c r="E236" s="44" t="s">
        <v>132</v>
      </c>
      <c r="F236" s="44">
        <v>11</v>
      </c>
      <c r="G236" s="44" t="s">
        <v>108</v>
      </c>
      <c r="H236" s="44" t="s">
        <v>121</v>
      </c>
      <c r="I236" s="44" t="s">
        <v>650</v>
      </c>
      <c r="J236" s="44">
        <v>152</v>
      </c>
      <c r="K236" s="44">
        <v>1</v>
      </c>
      <c r="L236" s="45">
        <v>11655</v>
      </c>
      <c r="M236" s="44">
        <v>48900</v>
      </c>
      <c r="N236" s="46">
        <f t="shared" si="6"/>
        <v>3.1288343558282207E-3</v>
      </c>
      <c r="O236" s="47">
        <f t="shared" si="7"/>
        <v>0.2383435582822086</v>
      </c>
      <c r="P236" s="44">
        <v>90</v>
      </c>
      <c r="Q236" s="44">
        <v>8</v>
      </c>
      <c r="R236" s="44">
        <v>3</v>
      </c>
      <c r="S236" s="44" t="s">
        <v>1067</v>
      </c>
      <c r="T236" s="44" t="s">
        <v>1067</v>
      </c>
      <c r="U236" s="44"/>
      <c r="V236" s="44"/>
      <c r="W236" s="44" t="s">
        <v>1907</v>
      </c>
      <c r="X236" s="48" t="s">
        <v>1908</v>
      </c>
      <c r="Y236" s="44" t="s">
        <v>1909</v>
      </c>
    </row>
    <row r="237" spans="1:25" x14ac:dyDescent="0.25">
      <c r="A237" s="44" t="s">
        <v>1836</v>
      </c>
      <c r="B237" s="44" t="s">
        <v>226</v>
      </c>
      <c r="C237" s="44" t="s">
        <v>1531</v>
      </c>
      <c r="D237" s="44" t="s">
        <v>147</v>
      </c>
      <c r="E237" s="44" t="s">
        <v>128</v>
      </c>
      <c r="F237" s="44">
        <v>11</v>
      </c>
      <c r="G237" s="44" t="s">
        <v>108</v>
      </c>
      <c r="H237" s="44" t="s">
        <v>121</v>
      </c>
      <c r="I237" s="44" t="s">
        <v>650</v>
      </c>
      <c r="J237" s="44">
        <v>285</v>
      </c>
      <c r="K237" s="44">
        <v>3</v>
      </c>
      <c r="L237" s="45">
        <v>16809</v>
      </c>
      <c r="M237" s="44">
        <v>48900</v>
      </c>
      <c r="N237" s="46">
        <f t="shared" si="6"/>
        <v>5.8895705521472396E-3</v>
      </c>
      <c r="O237" s="47">
        <f t="shared" si="7"/>
        <v>0.34374233128834358</v>
      </c>
      <c r="P237" s="44">
        <v>69</v>
      </c>
      <c r="Q237" s="44">
        <v>7</v>
      </c>
      <c r="R237" s="44">
        <v>3</v>
      </c>
      <c r="S237" s="44" t="s">
        <v>1067</v>
      </c>
      <c r="T237" s="44" t="s">
        <v>1067</v>
      </c>
      <c r="U237" s="44"/>
      <c r="V237" s="44"/>
      <c r="W237" s="44" t="s">
        <v>1910</v>
      </c>
      <c r="X237" s="48" t="s">
        <v>1911</v>
      </c>
      <c r="Y237" s="44" t="s">
        <v>1912</v>
      </c>
    </row>
    <row r="238" spans="1:25" x14ac:dyDescent="0.25">
      <c r="A238" s="44" t="s">
        <v>1836</v>
      </c>
      <c r="B238" s="44" t="s">
        <v>226</v>
      </c>
      <c r="C238" s="44" t="s">
        <v>1163</v>
      </c>
      <c r="D238" s="44" t="s">
        <v>147</v>
      </c>
      <c r="E238" s="44" t="s">
        <v>126</v>
      </c>
      <c r="F238" s="44">
        <v>9</v>
      </c>
      <c r="G238" s="44" t="s">
        <v>108</v>
      </c>
      <c r="H238" s="44" t="s">
        <v>122</v>
      </c>
      <c r="I238" s="44" t="s">
        <v>656</v>
      </c>
      <c r="J238" s="44">
        <v>129</v>
      </c>
      <c r="K238" s="44">
        <v>1</v>
      </c>
      <c r="L238" s="45">
        <v>8086</v>
      </c>
      <c r="M238" s="44">
        <v>48900</v>
      </c>
      <c r="N238" s="46">
        <f t="shared" si="6"/>
        <v>2.6584867075664623E-3</v>
      </c>
      <c r="O238" s="47">
        <f t="shared" si="7"/>
        <v>0.16535787321063394</v>
      </c>
      <c r="P238" s="44">
        <v>39</v>
      </c>
      <c r="Q238" s="44">
        <v>5</v>
      </c>
      <c r="R238" s="44">
        <v>0</v>
      </c>
      <c r="S238" s="44" t="s">
        <v>1068</v>
      </c>
      <c r="T238" s="44" t="s">
        <v>1068</v>
      </c>
      <c r="U238" s="44"/>
      <c r="V238" s="44"/>
      <c r="W238" s="44" t="s">
        <v>1913</v>
      </c>
      <c r="X238" s="48" t="s">
        <v>1914</v>
      </c>
      <c r="Y238" s="44" t="s">
        <v>1915</v>
      </c>
    </row>
    <row r="239" spans="1:25" x14ac:dyDescent="0.25">
      <c r="A239" s="44" t="s">
        <v>1836</v>
      </c>
      <c r="B239" s="44" t="s">
        <v>226</v>
      </c>
      <c r="C239" s="44" t="s">
        <v>1167</v>
      </c>
      <c r="D239" s="44" t="s">
        <v>147</v>
      </c>
      <c r="E239" s="44" t="s">
        <v>134</v>
      </c>
      <c r="F239" s="44">
        <v>11</v>
      </c>
      <c r="G239" s="44" t="s">
        <v>108</v>
      </c>
      <c r="H239" s="44" t="s">
        <v>114</v>
      </c>
      <c r="I239" s="44" t="s">
        <v>656</v>
      </c>
      <c r="J239" s="44">
        <v>1460</v>
      </c>
      <c r="K239" s="44">
        <v>1</v>
      </c>
      <c r="L239" s="45">
        <v>69255</v>
      </c>
      <c r="M239" s="44">
        <v>48900</v>
      </c>
      <c r="N239" s="46">
        <f t="shared" si="6"/>
        <v>2.9877300613496933E-2</v>
      </c>
      <c r="O239" s="47">
        <f t="shared" si="7"/>
        <v>1.4162576687116564</v>
      </c>
      <c r="P239" s="44">
        <v>12</v>
      </c>
      <c r="Q239" s="44">
        <v>5</v>
      </c>
      <c r="R239" s="44">
        <v>1</v>
      </c>
      <c r="S239" s="44" t="s">
        <v>1068</v>
      </c>
      <c r="T239" s="44" t="s">
        <v>1068</v>
      </c>
      <c r="U239" s="44"/>
      <c r="V239" s="44"/>
      <c r="W239" s="44" t="s">
        <v>1916</v>
      </c>
      <c r="X239" s="48" t="s">
        <v>1917</v>
      </c>
      <c r="Y239" s="44" t="s">
        <v>1918</v>
      </c>
    </row>
    <row r="240" spans="1:25" x14ac:dyDescent="0.25">
      <c r="A240" s="44" t="s">
        <v>1836</v>
      </c>
      <c r="B240" s="44" t="s">
        <v>226</v>
      </c>
      <c r="C240" s="44" t="s">
        <v>1171</v>
      </c>
      <c r="D240" s="44" t="s">
        <v>147</v>
      </c>
      <c r="E240" s="44" t="s">
        <v>132</v>
      </c>
      <c r="F240" s="44">
        <v>11</v>
      </c>
      <c r="G240" s="44" t="s">
        <v>108</v>
      </c>
      <c r="H240" s="44" t="s">
        <v>121</v>
      </c>
      <c r="I240" s="44" t="s">
        <v>656</v>
      </c>
      <c r="J240" s="44">
        <v>118</v>
      </c>
      <c r="K240" s="44">
        <v>1</v>
      </c>
      <c r="L240" s="45">
        <v>9374</v>
      </c>
      <c r="M240" s="44">
        <v>48900</v>
      </c>
      <c r="N240" s="46">
        <f t="shared" si="6"/>
        <v>2.4335378323108382E-3</v>
      </c>
      <c r="O240" s="47">
        <f t="shared" si="7"/>
        <v>0.19169734151329243</v>
      </c>
      <c r="P240" s="44">
        <v>95</v>
      </c>
      <c r="Q240" s="44">
        <v>7</v>
      </c>
      <c r="R240" s="44">
        <v>2</v>
      </c>
      <c r="S240" s="44" t="s">
        <v>1067</v>
      </c>
      <c r="T240" s="44" t="s">
        <v>1068</v>
      </c>
      <c r="U240" s="44"/>
      <c r="V240" s="44"/>
      <c r="W240" s="44" t="s">
        <v>1919</v>
      </c>
      <c r="X240" s="48" t="s">
        <v>1920</v>
      </c>
      <c r="Y240" s="44" t="s">
        <v>1921</v>
      </c>
    </row>
    <row r="241" spans="1:25" x14ac:dyDescent="0.25">
      <c r="A241" s="44" t="s">
        <v>1836</v>
      </c>
      <c r="B241" s="44" t="s">
        <v>226</v>
      </c>
      <c r="C241" s="44" t="s">
        <v>1180</v>
      </c>
      <c r="D241" s="44" t="s">
        <v>147</v>
      </c>
      <c r="E241" s="44" t="s">
        <v>128</v>
      </c>
      <c r="F241" s="44">
        <v>11</v>
      </c>
      <c r="G241" s="44" t="s">
        <v>108</v>
      </c>
      <c r="H241" s="44" t="s">
        <v>121</v>
      </c>
      <c r="I241" s="44" t="s">
        <v>656</v>
      </c>
      <c r="J241" s="44">
        <v>217</v>
      </c>
      <c r="K241" s="44">
        <v>4</v>
      </c>
      <c r="L241" s="45">
        <v>21385</v>
      </c>
      <c r="M241" s="44">
        <v>48900</v>
      </c>
      <c r="N241" s="46">
        <f t="shared" si="6"/>
        <v>4.5194274028629855E-3</v>
      </c>
      <c r="O241" s="47">
        <f t="shared" si="7"/>
        <v>0.43732106339468302</v>
      </c>
      <c r="P241" s="44">
        <v>71</v>
      </c>
      <c r="Q241" s="44">
        <v>8</v>
      </c>
      <c r="R241" s="44">
        <v>3</v>
      </c>
      <c r="S241" s="44" t="s">
        <v>1067</v>
      </c>
      <c r="T241" s="44" t="s">
        <v>1068</v>
      </c>
      <c r="U241" s="44"/>
      <c r="V241" s="44"/>
      <c r="W241" s="44" t="s">
        <v>1922</v>
      </c>
      <c r="X241" s="48" t="s">
        <v>1923</v>
      </c>
      <c r="Y241" s="44" t="s">
        <v>1924</v>
      </c>
    </row>
    <row r="242" spans="1:25" x14ac:dyDescent="0.25">
      <c r="A242" s="44" t="s">
        <v>1836</v>
      </c>
      <c r="B242" s="44" t="s">
        <v>226</v>
      </c>
      <c r="C242" s="44" t="s">
        <v>1184</v>
      </c>
      <c r="D242" s="44" t="s">
        <v>147</v>
      </c>
      <c r="E242" s="44" t="s">
        <v>126</v>
      </c>
      <c r="F242" s="44">
        <v>12</v>
      </c>
      <c r="G242" s="44" t="s">
        <v>108</v>
      </c>
      <c r="H242" s="44" t="s">
        <v>122</v>
      </c>
      <c r="I242" s="44" t="s">
        <v>656</v>
      </c>
      <c r="J242" s="44">
        <v>107</v>
      </c>
      <c r="K242" s="44">
        <v>4</v>
      </c>
      <c r="L242" s="45">
        <v>6489</v>
      </c>
      <c r="M242" s="44">
        <v>48900</v>
      </c>
      <c r="N242" s="46">
        <f t="shared" si="6"/>
        <v>2.2699386503067485E-3</v>
      </c>
      <c r="O242" s="47">
        <f t="shared" si="7"/>
        <v>0.13269938650306748</v>
      </c>
      <c r="P242" s="44">
        <v>54</v>
      </c>
      <c r="Q242" s="44">
        <v>5</v>
      </c>
      <c r="R242" s="44">
        <v>0</v>
      </c>
      <c r="S242" s="44" t="s">
        <v>1068</v>
      </c>
      <c r="T242" s="44" t="s">
        <v>1068</v>
      </c>
      <c r="U242" s="44"/>
      <c r="V242" s="44"/>
      <c r="W242" s="44" t="s">
        <v>1925</v>
      </c>
      <c r="X242" s="48" t="s">
        <v>1926</v>
      </c>
      <c r="Y242" s="44" t="s">
        <v>1927</v>
      </c>
    </row>
    <row r="243" spans="1:25" x14ac:dyDescent="0.25">
      <c r="A243" s="44" t="s">
        <v>1836</v>
      </c>
      <c r="B243" s="44" t="s">
        <v>226</v>
      </c>
      <c r="C243" s="44" t="s">
        <v>1192</v>
      </c>
      <c r="D243" s="44" t="s">
        <v>147</v>
      </c>
      <c r="E243" s="44" t="s">
        <v>134</v>
      </c>
      <c r="F243" s="44">
        <v>10</v>
      </c>
      <c r="G243" s="44" t="s">
        <v>108</v>
      </c>
      <c r="H243" s="44" t="s">
        <v>114</v>
      </c>
      <c r="I243" s="44" t="s">
        <v>656</v>
      </c>
      <c r="J243" s="44">
        <v>234</v>
      </c>
      <c r="K243" s="44">
        <v>4</v>
      </c>
      <c r="L243" s="45">
        <v>56989</v>
      </c>
      <c r="M243" s="44">
        <v>48900</v>
      </c>
      <c r="N243" s="46">
        <f t="shared" si="6"/>
        <v>4.8670756646216765E-3</v>
      </c>
      <c r="O243" s="47">
        <f t="shared" si="7"/>
        <v>1.1654192229038856</v>
      </c>
      <c r="P243" s="44">
        <v>12</v>
      </c>
      <c r="Q243" s="44">
        <v>5</v>
      </c>
      <c r="R243" s="44">
        <v>1</v>
      </c>
      <c r="S243" s="44" t="s">
        <v>1068</v>
      </c>
      <c r="T243" s="44" t="s">
        <v>1068</v>
      </c>
      <c r="U243" s="44"/>
      <c r="V243" s="44"/>
      <c r="W243" s="44" t="s">
        <v>1928</v>
      </c>
      <c r="X243" s="48" t="s">
        <v>1929</v>
      </c>
      <c r="Y243" s="44" t="s">
        <v>1930</v>
      </c>
    </row>
    <row r="244" spans="1:25" x14ac:dyDescent="0.25">
      <c r="A244" s="44" t="s">
        <v>1836</v>
      </c>
      <c r="B244" s="44" t="s">
        <v>226</v>
      </c>
      <c r="C244" s="44" t="s">
        <v>1931</v>
      </c>
      <c r="D244" s="44" t="s">
        <v>147</v>
      </c>
      <c r="E244" s="44" t="s">
        <v>132</v>
      </c>
      <c r="F244" s="44">
        <v>11</v>
      </c>
      <c r="G244" s="44" t="s">
        <v>108</v>
      </c>
      <c r="H244" s="44" t="s">
        <v>121</v>
      </c>
      <c r="I244" s="44" t="s">
        <v>656</v>
      </c>
      <c r="J244" s="44">
        <v>352</v>
      </c>
      <c r="K244" s="44">
        <v>3</v>
      </c>
      <c r="L244" s="45">
        <v>29365</v>
      </c>
      <c r="M244" s="44">
        <v>48900</v>
      </c>
      <c r="N244" s="46">
        <f t="shared" si="6"/>
        <v>7.2597137014314929E-3</v>
      </c>
      <c r="O244" s="47">
        <f t="shared" si="7"/>
        <v>0.60051124744376283</v>
      </c>
      <c r="P244" s="44">
        <v>82</v>
      </c>
      <c r="Q244" s="44">
        <v>8</v>
      </c>
      <c r="R244" s="44">
        <v>3</v>
      </c>
      <c r="S244" s="44" t="s">
        <v>1067</v>
      </c>
      <c r="T244" s="44" t="s">
        <v>1068</v>
      </c>
      <c r="U244" s="44"/>
      <c r="V244" s="44"/>
      <c r="W244" s="44" t="s">
        <v>1932</v>
      </c>
      <c r="X244" s="48" t="s">
        <v>1933</v>
      </c>
      <c r="Y244" s="44" t="s">
        <v>1934</v>
      </c>
    </row>
    <row r="245" spans="1:25" x14ac:dyDescent="0.25">
      <c r="A245" s="44" t="s">
        <v>1836</v>
      </c>
      <c r="B245" s="44" t="s">
        <v>226</v>
      </c>
      <c r="C245" s="44" t="s">
        <v>1548</v>
      </c>
      <c r="D245" s="44" t="s">
        <v>147</v>
      </c>
      <c r="E245" s="44" t="s">
        <v>128</v>
      </c>
      <c r="F245" s="44">
        <v>11</v>
      </c>
      <c r="G245" s="44" t="s">
        <v>108</v>
      </c>
      <c r="H245" s="44" t="s">
        <v>121</v>
      </c>
      <c r="I245" s="44" t="s">
        <v>656</v>
      </c>
      <c r="J245" s="44">
        <v>328</v>
      </c>
      <c r="K245" s="44">
        <v>0</v>
      </c>
      <c r="L245" s="45">
        <v>14568</v>
      </c>
      <c r="M245" s="44">
        <v>48900</v>
      </c>
      <c r="N245" s="46">
        <f t="shared" si="6"/>
        <v>6.7075664621676894E-3</v>
      </c>
      <c r="O245" s="47">
        <f t="shared" si="7"/>
        <v>0.29791411042944788</v>
      </c>
      <c r="P245" s="44">
        <v>86</v>
      </c>
      <c r="Q245" s="44">
        <v>7</v>
      </c>
      <c r="R245" s="44">
        <v>3</v>
      </c>
      <c r="S245" s="44" t="s">
        <v>1067</v>
      </c>
      <c r="T245" s="44" t="s">
        <v>1068</v>
      </c>
      <c r="U245" s="44"/>
      <c r="V245" s="44"/>
      <c r="W245" s="44" t="s">
        <v>1935</v>
      </c>
      <c r="X245" s="48" t="s">
        <v>1936</v>
      </c>
      <c r="Y245" s="44" t="s">
        <v>1937</v>
      </c>
    </row>
    <row r="246" spans="1:25" x14ac:dyDescent="0.25">
      <c r="A246" s="44" t="s">
        <v>1836</v>
      </c>
      <c r="B246" s="44" t="s">
        <v>226</v>
      </c>
      <c r="C246" s="44" t="s">
        <v>1200</v>
      </c>
      <c r="D246" s="44" t="s">
        <v>147</v>
      </c>
      <c r="E246" s="44" t="s">
        <v>134</v>
      </c>
      <c r="F246" s="44">
        <v>11</v>
      </c>
      <c r="G246" s="44" t="s">
        <v>108</v>
      </c>
      <c r="H246" s="44" t="s">
        <v>114</v>
      </c>
      <c r="I246" s="44" t="s">
        <v>650</v>
      </c>
      <c r="J246" s="44">
        <v>692</v>
      </c>
      <c r="K246" s="44">
        <v>12</v>
      </c>
      <c r="L246" s="45">
        <v>193648</v>
      </c>
      <c r="M246" s="44">
        <v>48900</v>
      </c>
      <c r="N246" s="46">
        <f t="shared" si="6"/>
        <v>1.4396728016359918E-2</v>
      </c>
      <c r="O246" s="47">
        <f t="shared" si="7"/>
        <v>3.960081799591002</v>
      </c>
      <c r="P246" s="44">
        <v>15</v>
      </c>
      <c r="Q246" s="44">
        <v>6</v>
      </c>
      <c r="R246" s="44">
        <v>0</v>
      </c>
      <c r="S246" s="44" t="s">
        <v>1067</v>
      </c>
      <c r="T246" s="44" t="s">
        <v>1067</v>
      </c>
      <c r="U246" s="44"/>
      <c r="V246" s="44"/>
      <c r="W246" s="44" t="s">
        <v>1938</v>
      </c>
      <c r="X246" s="48" t="s">
        <v>1939</v>
      </c>
      <c r="Y246" s="44" t="s">
        <v>1940</v>
      </c>
    </row>
    <row r="247" spans="1:25" x14ac:dyDescent="0.25">
      <c r="A247" s="44" t="s">
        <v>1836</v>
      </c>
      <c r="B247" s="44" t="s">
        <v>226</v>
      </c>
      <c r="C247" s="44" t="s">
        <v>1556</v>
      </c>
      <c r="D247" s="44" t="s">
        <v>147</v>
      </c>
      <c r="E247" s="44" t="s">
        <v>132</v>
      </c>
      <c r="F247" s="44">
        <v>11</v>
      </c>
      <c r="G247" s="44" t="s">
        <v>108</v>
      </c>
      <c r="H247" s="44" t="s">
        <v>121</v>
      </c>
      <c r="I247" s="44" t="s">
        <v>656</v>
      </c>
      <c r="J247" s="44">
        <v>3</v>
      </c>
      <c r="K247" s="44">
        <v>4</v>
      </c>
      <c r="L247" s="45">
        <v>23361</v>
      </c>
      <c r="M247" s="44">
        <v>48900</v>
      </c>
      <c r="N247" s="46">
        <f t="shared" si="6"/>
        <v>1.4314928425357873E-4</v>
      </c>
      <c r="O247" s="47">
        <f t="shared" si="7"/>
        <v>0.47773006134969326</v>
      </c>
      <c r="P247" s="44">
        <v>86</v>
      </c>
      <c r="Q247" s="44">
        <v>8</v>
      </c>
      <c r="R247" s="44">
        <v>3</v>
      </c>
      <c r="S247" s="44" t="s">
        <v>1067</v>
      </c>
      <c r="T247" s="44" t="s">
        <v>1068</v>
      </c>
      <c r="U247" s="44"/>
      <c r="V247" s="44"/>
      <c r="W247" s="44" t="s">
        <v>1941</v>
      </c>
      <c r="X247" s="48" t="s">
        <v>1942</v>
      </c>
      <c r="Y247" s="44" t="s">
        <v>1943</v>
      </c>
    </row>
    <row r="248" spans="1:25" x14ac:dyDescent="0.25">
      <c r="A248" s="44" t="s">
        <v>1836</v>
      </c>
      <c r="B248" s="44" t="s">
        <v>226</v>
      </c>
      <c r="C248" s="44" t="s">
        <v>1944</v>
      </c>
      <c r="D248" s="44" t="s">
        <v>147</v>
      </c>
      <c r="E248" s="44" t="s">
        <v>130</v>
      </c>
      <c r="F248" s="44">
        <v>11</v>
      </c>
      <c r="G248" s="44" t="s">
        <v>109</v>
      </c>
      <c r="H248" s="44" t="s">
        <v>122</v>
      </c>
      <c r="I248" s="44" t="s">
        <v>656</v>
      </c>
      <c r="J248" s="44">
        <v>54</v>
      </c>
      <c r="K248" s="44">
        <v>1</v>
      </c>
      <c r="L248" s="45"/>
      <c r="M248" s="44">
        <v>48900</v>
      </c>
      <c r="N248" s="46">
        <f t="shared" si="6"/>
        <v>1.1247443762781187E-3</v>
      </c>
      <c r="O248" s="47" t="str">
        <f t="shared" si="7"/>
        <v/>
      </c>
      <c r="P248" s="44">
        <v>12</v>
      </c>
      <c r="Q248" s="44">
        <v>5</v>
      </c>
      <c r="R248" s="44">
        <v>0</v>
      </c>
      <c r="S248" s="44" t="s">
        <v>1068</v>
      </c>
      <c r="T248" s="44" t="s">
        <v>1068</v>
      </c>
      <c r="U248" s="44"/>
      <c r="V248" s="44"/>
      <c r="W248" s="44" t="s">
        <v>1945</v>
      </c>
      <c r="X248" s="48" t="s">
        <v>1946</v>
      </c>
      <c r="Y248" s="44" t="s">
        <v>1947</v>
      </c>
    </row>
    <row r="249" spans="1:25" x14ac:dyDescent="0.25">
      <c r="A249" s="44" t="s">
        <v>1836</v>
      </c>
      <c r="B249" s="44" t="s">
        <v>226</v>
      </c>
      <c r="C249" s="44" t="s">
        <v>1204</v>
      </c>
      <c r="D249" s="44" t="s">
        <v>147</v>
      </c>
      <c r="E249" s="44" t="s">
        <v>128</v>
      </c>
      <c r="F249" s="44">
        <v>11</v>
      </c>
      <c r="G249" s="44" t="s">
        <v>108</v>
      </c>
      <c r="H249" s="44" t="s">
        <v>121</v>
      </c>
      <c r="I249" s="44" t="s">
        <v>650</v>
      </c>
      <c r="J249" s="44">
        <v>521</v>
      </c>
      <c r="K249" s="44">
        <v>3</v>
      </c>
      <c r="L249" s="45">
        <v>27386</v>
      </c>
      <c r="M249" s="44">
        <v>48900</v>
      </c>
      <c r="N249" s="46">
        <f t="shared" si="6"/>
        <v>1.0715746421267894E-2</v>
      </c>
      <c r="O249" s="47">
        <f t="shared" si="7"/>
        <v>0.56004089979550098</v>
      </c>
      <c r="P249" s="44">
        <v>71</v>
      </c>
      <c r="Q249" s="44">
        <v>6</v>
      </c>
      <c r="R249" s="44">
        <v>0</v>
      </c>
      <c r="S249" s="44" t="s">
        <v>1068</v>
      </c>
      <c r="T249" s="44" t="s">
        <v>1067</v>
      </c>
      <c r="U249" s="44"/>
      <c r="V249" s="44"/>
      <c r="W249" s="44" t="s">
        <v>1948</v>
      </c>
      <c r="X249" s="48" t="s">
        <v>1949</v>
      </c>
      <c r="Y249" s="44" t="s">
        <v>1950</v>
      </c>
    </row>
    <row r="250" spans="1:25" x14ac:dyDescent="0.25">
      <c r="A250" s="44" t="s">
        <v>1836</v>
      </c>
      <c r="B250" s="44" t="s">
        <v>226</v>
      </c>
      <c r="C250" s="44" t="s">
        <v>1560</v>
      </c>
      <c r="D250" s="44" t="s">
        <v>147</v>
      </c>
      <c r="E250" s="44" t="s">
        <v>126</v>
      </c>
      <c r="F250" s="44">
        <v>11</v>
      </c>
      <c r="G250" s="44" t="s">
        <v>109</v>
      </c>
      <c r="H250" s="44" t="s">
        <v>542</v>
      </c>
      <c r="I250" s="44" t="s">
        <v>656</v>
      </c>
      <c r="J250" s="44">
        <v>9</v>
      </c>
      <c r="K250" s="44">
        <v>0</v>
      </c>
      <c r="L250" s="45"/>
      <c r="M250" s="44">
        <v>48900</v>
      </c>
      <c r="N250" s="46">
        <f t="shared" si="6"/>
        <v>1.8404907975460124E-4</v>
      </c>
      <c r="O250" s="47" t="str">
        <f t="shared" si="7"/>
        <v/>
      </c>
      <c r="P250" s="44">
        <v>89</v>
      </c>
      <c r="Q250" s="44">
        <v>6</v>
      </c>
      <c r="R250" s="44">
        <v>0</v>
      </c>
      <c r="S250" s="44" t="s">
        <v>1067</v>
      </c>
      <c r="T250" s="44" t="s">
        <v>1068</v>
      </c>
      <c r="U250" s="44"/>
      <c r="V250" s="44"/>
      <c r="W250" s="44" t="s">
        <v>1951</v>
      </c>
      <c r="X250" s="48" t="s">
        <v>1952</v>
      </c>
      <c r="Y250" s="44" t="s">
        <v>1953</v>
      </c>
    </row>
    <row r="251" spans="1:25" x14ac:dyDescent="0.25">
      <c r="A251" s="44" t="s">
        <v>1836</v>
      </c>
      <c r="B251" s="44" t="s">
        <v>226</v>
      </c>
      <c r="C251" s="44" t="s">
        <v>1954</v>
      </c>
      <c r="D251" s="44" t="s">
        <v>146</v>
      </c>
      <c r="E251" s="44" t="s">
        <v>134</v>
      </c>
      <c r="F251" s="44">
        <v>12</v>
      </c>
      <c r="G251" s="44" t="s">
        <v>108</v>
      </c>
      <c r="H251" s="44" t="s">
        <v>122</v>
      </c>
      <c r="I251" s="44" t="s">
        <v>656</v>
      </c>
      <c r="J251" s="44">
        <v>335</v>
      </c>
      <c r="K251" s="44">
        <v>0</v>
      </c>
      <c r="L251" s="45">
        <v>23517</v>
      </c>
      <c r="M251" s="44">
        <v>48900</v>
      </c>
      <c r="N251" s="46">
        <f t="shared" si="6"/>
        <v>6.850715746421268E-3</v>
      </c>
      <c r="O251" s="47">
        <f t="shared" si="7"/>
        <v>0.48092024539877298</v>
      </c>
      <c r="P251" s="44">
        <v>13</v>
      </c>
      <c r="Q251" s="44">
        <v>5</v>
      </c>
      <c r="R251" s="44">
        <v>1</v>
      </c>
      <c r="S251" s="44" t="s">
        <v>1068</v>
      </c>
      <c r="T251" s="44" t="s">
        <v>1068</v>
      </c>
      <c r="U251" s="44"/>
      <c r="V251" s="44"/>
      <c r="W251" s="44" t="s">
        <v>1955</v>
      </c>
      <c r="X251" s="48" t="s">
        <v>1956</v>
      </c>
      <c r="Y251" s="44" t="s">
        <v>1957</v>
      </c>
    </row>
    <row r="252" spans="1:25" x14ac:dyDescent="0.25">
      <c r="A252" s="44" t="s">
        <v>1836</v>
      </c>
      <c r="B252" s="44" t="s">
        <v>226</v>
      </c>
      <c r="C252" s="44" t="s">
        <v>1958</v>
      </c>
      <c r="D252" s="44" t="s">
        <v>146</v>
      </c>
      <c r="E252" s="44" t="s">
        <v>132</v>
      </c>
      <c r="F252" s="44">
        <v>10</v>
      </c>
      <c r="G252" s="44" t="s">
        <v>108</v>
      </c>
      <c r="H252" s="44" t="s">
        <v>121</v>
      </c>
      <c r="I252" s="44" t="s">
        <v>650</v>
      </c>
      <c r="J252" s="44">
        <v>132</v>
      </c>
      <c r="K252" s="44">
        <v>3</v>
      </c>
      <c r="L252" s="45">
        <v>5799</v>
      </c>
      <c r="M252" s="44">
        <v>48900</v>
      </c>
      <c r="N252" s="46">
        <f t="shared" si="6"/>
        <v>2.7607361963190185E-3</v>
      </c>
      <c r="O252" s="47">
        <f t="shared" si="7"/>
        <v>0.11858895705521473</v>
      </c>
      <c r="P252" s="44">
        <v>108</v>
      </c>
      <c r="Q252" s="44">
        <v>7</v>
      </c>
      <c r="R252" s="44">
        <v>0</v>
      </c>
      <c r="S252" s="44" t="s">
        <v>1067</v>
      </c>
      <c r="T252" s="44" t="s">
        <v>1067</v>
      </c>
      <c r="U252" s="44"/>
      <c r="V252" s="44"/>
      <c r="W252" s="44" t="s">
        <v>1959</v>
      </c>
      <c r="X252" s="48" t="s">
        <v>1960</v>
      </c>
      <c r="Y252" s="44" t="s">
        <v>1961</v>
      </c>
    </row>
    <row r="253" spans="1:25" x14ac:dyDescent="0.25">
      <c r="A253" s="44" t="s">
        <v>1836</v>
      </c>
      <c r="B253" s="44" t="s">
        <v>226</v>
      </c>
      <c r="C253" s="44" t="s">
        <v>1962</v>
      </c>
      <c r="D253" s="44" t="s">
        <v>146</v>
      </c>
      <c r="E253" s="44" t="s">
        <v>128</v>
      </c>
      <c r="F253" s="44">
        <v>8</v>
      </c>
      <c r="G253" s="44" t="s">
        <v>108</v>
      </c>
      <c r="H253" s="44" t="s">
        <v>121</v>
      </c>
      <c r="I253" s="44" t="s">
        <v>656</v>
      </c>
      <c r="J253" s="44">
        <v>997</v>
      </c>
      <c r="K253" s="44">
        <v>7</v>
      </c>
      <c r="L253" s="45">
        <v>45139</v>
      </c>
      <c r="M253" s="44">
        <v>48900</v>
      </c>
      <c r="N253" s="46">
        <f t="shared" si="6"/>
        <v>2.0531697341513291E-2</v>
      </c>
      <c r="O253" s="47">
        <f t="shared" si="7"/>
        <v>0.92308793456032723</v>
      </c>
      <c r="P253" s="44">
        <v>90</v>
      </c>
      <c r="Q253" s="44">
        <v>5</v>
      </c>
      <c r="R253" s="44">
        <v>3</v>
      </c>
      <c r="S253" s="44" t="s">
        <v>1067</v>
      </c>
      <c r="T253" s="44" t="s">
        <v>1068</v>
      </c>
      <c r="U253" s="44"/>
      <c r="V253" s="44"/>
      <c r="W253" s="44" t="s">
        <v>1963</v>
      </c>
      <c r="X253" s="48" t="s">
        <v>1964</v>
      </c>
      <c r="Y253" s="44" t="s">
        <v>1965</v>
      </c>
    </row>
    <row r="254" spans="1:25" x14ac:dyDescent="0.25">
      <c r="A254" s="44" t="s">
        <v>1836</v>
      </c>
      <c r="B254" s="44" t="s">
        <v>226</v>
      </c>
      <c r="C254" s="44" t="s">
        <v>1564</v>
      </c>
      <c r="D254" s="44" t="s">
        <v>146</v>
      </c>
      <c r="E254" s="44" t="s">
        <v>126</v>
      </c>
      <c r="F254" s="44">
        <v>14</v>
      </c>
      <c r="G254" s="44" t="s">
        <v>109</v>
      </c>
      <c r="H254" s="44" t="s">
        <v>542</v>
      </c>
      <c r="I254" s="44" t="s">
        <v>656</v>
      </c>
      <c r="J254" s="44">
        <v>16</v>
      </c>
      <c r="K254" s="44">
        <v>0</v>
      </c>
      <c r="L254" s="45"/>
      <c r="M254" s="44">
        <v>48900</v>
      </c>
      <c r="N254" s="46">
        <f t="shared" si="6"/>
        <v>3.2719836400817994E-4</v>
      </c>
      <c r="O254" s="47" t="str">
        <f t="shared" si="7"/>
        <v/>
      </c>
      <c r="P254" s="44">
        <v>107</v>
      </c>
      <c r="Q254" s="44">
        <v>5</v>
      </c>
      <c r="R254" s="44">
        <v>0</v>
      </c>
      <c r="S254" s="44" t="s">
        <v>1067</v>
      </c>
      <c r="T254" s="44" t="s">
        <v>1068</v>
      </c>
      <c r="U254" s="44"/>
      <c r="V254" s="44"/>
      <c r="W254" s="44" t="s">
        <v>1966</v>
      </c>
      <c r="X254" s="48" t="s">
        <v>1967</v>
      </c>
      <c r="Y254" s="44" t="s">
        <v>1968</v>
      </c>
    </row>
    <row r="255" spans="1:25" x14ac:dyDescent="0.25">
      <c r="A255" s="44" t="s">
        <v>1836</v>
      </c>
      <c r="B255" s="44" t="s">
        <v>226</v>
      </c>
      <c r="C255" s="44" t="s">
        <v>1568</v>
      </c>
      <c r="D255" s="44" t="s">
        <v>146</v>
      </c>
      <c r="E255" s="44" t="s">
        <v>134</v>
      </c>
      <c r="F255" s="44">
        <v>10</v>
      </c>
      <c r="G255" s="44" t="s">
        <v>108</v>
      </c>
      <c r="H255" s="44" t="s">
        <v>114</v>
      </c>
      <c r="I255" s="44" t="s">
        <v>656</v>
      </c>
      <c r="J255" s="44">
        <v>623</v>
      </c>
      <c r="K255" s="44">
        <v>15</v>
      </c>
      <c r="L255" s="45">
        <v>50437</v>
      </c>
      <c r="M255" s="44">
        <v>48900</v>
      </c>
      <c r="N255" s="46">
        <f t="shared" si="6"/>
        <v>1.3047034764826175E-2</v>
      </c>
      <c r="O255" s="47">
        <f t="shared" si="7"/>
        <v>1.0314314928425359</v>
      </c>
      <c r="P255" s="44">
        <v>9</v>
      </c>
      <c r="Q255" s="44">
        <v>5</v>
      </c>
      <c r="R255" s="44">
        <v>2</v>
      </c>
      <c r="S255" s="44" t="s">
        <v>1068</v>
      </c>
      <c r="T255" s="44" t="s">
        <v>1068</v>
      </c>
      <c r="U255" s="44"/>
      <c r="V255" s="44"/>
      <c r="W255" s="44" t="s">
        <v>1969</v>
      </c>
      <c r="X255" s="48" t="s">
        <v>1970</v>
      </c>
      <c r="Y255" s="44" t="s">
        <v>1971</v>
      </c>
    </row>
    <row r="256" spans="1:25" x14ac:dyDescent="0.25">
      <c r="A256" s="44" t="s">
        <v>1836</v>
      </c>
      <c r="B256" s="44" t="s">
        <v>226</v>
      </c>
      <c r="C256" s="44" t="s">
        <v>1972</v>
      </c>
      <c r="D256" s="44" t="s">
        <v>146</v>
      </c>
      <c r="E256" s="44" t="s">
        <v>132</v>
      </c>
      <c r="F256" s="44">
        <v>11</v>
      </c>
      <c r="G256" s="44" t="s">
        <v>108</v>
      </c>
      <c r="H256" s="44" t="s">
        <v>115</v>
      </c>
      <c r="I256" s="44" t="s">
        <v>656</v>
      </c>
      <c r="J256" s="44">
        <v>75</v>
      </c>
      <c r="K256" s="44">
        <v>1</v>
      </c>
      <c r="L256" s="45">
        <v>3509</v>
      </c>
      <c r="M256" s="44">
        <v>48900</v>
      </c>
      <c r="N256" s="46">
        <f t="shared" si="6"/>
        <v>1.5541922290388548E-3</v>
      </c>
      <c r="O256" s="47">
        <f t="shared" si="7"/>
        <v>7.1758691206543962E-2</v>
      </c>
      <c r="P256" s="44">
        <v>31</v>
      </c>
      <c r="Q256" s="44">
        <v>5</v>
      </c>
      <c r="R256" s="44">
        <v>0</v>
      </c>
      <c r="S256" s="44" t="s">
        <v>1068</v>
      </c>
      <c r="T256" s="44" t="s">
        <v>1068</v>
      </c>
      <c r="U256" s="44"/>
      <c r="V256" s="44"/>
      <c r="W256" s="44" t="s">
        <v>1973</v>
      </c>
      <c r="X256" s="48" t="s">
        <v>1974</v>
      </c>
      <c r="Y256" s="44" t="s">
        <v>1975</v>
      </c>
    </row>
    <row r="257" spans="1:25" x14ac:dyDescent="0.25">
      <c r="A257" s="44" t="s">
        <v>1836</v>
      </c>
      <c r="B257" s="44" t="s">
        <v>226</v>
      </c>
      <c r="C257" s="44" t="s">
        <v>1976</v>
      </c>
      <c r="D257" s="44" t="s">
        <v>146</v>
      </c>
      <c r="E257" s="44" t="s">
        <v>128</v>
      </c>
      <c r="F257" s="44">
        <v>10</v>
      </c>
      <c r="G257" s="44" t="s">
        <v>108</v>
      </c>
      <c r="H257" s="44" t="s">
        <v>121</v>
      </c>
      <c r="I257" s="44" t="s">
        <v>650</v>
      </c>
      <c r="J257" s="44">
        <v>1303</v>
      </c>
      <c r="K257" s="44">
        <v>20</v>
      </c>
      <c r="L257" s="45">
        <v>44099</v>
      </c>
      <c r="M257" s="44">
        <v>48900</v>
      </c>
      <c r="N257" s="46">
        <f t="shared" si="6"/>
        <v>2.7055214723926382E-2</v>
      </c>
      <c r="O257" s="47">
        <f t="shared" si="7"/>
        <v>0.90182004089979551</v>
      </c>
      <c r="P257" s="44">
        <v>42</v>
      </c>
      <c r="Q257" s="44">
        <v>5</v>
      </c>
      <c r="R257" s="44">
        <v>0</v>
      </c>
      <c r="S257" s="44" t="s">
        <v>1067</v>
      </c>
      <c r="T257" s="44" t="s">
        <v>1067</v>
      </c>
      <c r="U257" s="44"/>
      <c r="V257" s="44"/>
      <c r="W257" s="44" t="s">
        <v>1977</v>
      </c>
      <c r="X257" s="48" t="s">
        <v>1978</v>
      </c>
      <c r="Y257" s="44" t="s">
        <v>1979</v>
      </c>
    </row>
    <row r="258" spans="1:25" x14ac:dyDescent="0.25">
      <c r="A258" s="44" t="s">
        <v>1836</v>
      </c>
      <c r="B258" s="44" t="s">
        <v>226</v>
      </c>
      <c r="C258" s="44" t="s">
        <v>1585</v>
      </c>
      <c r="D258" s="44" t="s">
        <v>146</v>
      </c>
      <c r="E258" s="44" t="s">
        <v>132</v>
      </c>
      <c r="F258" s="44">
        <v>9</v>
      </c>
      <c r="G258" s="44" t="s">
        <v>108</v>
      </c>
      <c r="H258" s="44" t="s">
        <v>115</v>
      </c>
      <c r="I258" s="44" t="s">
        <v>656</v>
      </c>
      <c r="J258" s="44">
        <v>135</v>
      </c>
      <c r="K258" s="44">
        <v>23</v>
      </c>
      <c r="L258" s="45">
        <v>6440</v>
      </c>
      <c r="M258" s="44">
        <v>48900</v>
      </c>
      <c r="N258" s="46">
        <f t="shared" ref="N258:N321" si="8">(J258+K258)/M258</f>
        <v>3.2310838445807769E-3</v>
      </c>
      <c r="O258" s="47">
        <f t="shared" ref="O258:O321" si="9">IF(L258="","",L258/M258)</f>
        <v>0.13169734151329243</v>
      </c>
      <c r="P258" s="44">
        <v>81</v>
      </c>
      <c r="Q258" s="44">
        <v>4</v>
      </c>
      <c r="R258" s="44">
        <v>0</v>
      </c>
      <c r="S258" s="44" t="s">
        <v>1068</v>
      </c>
      <c r="T258" s="44" t="s">
        <v>1068</v>
      </c>
      <c r="U258" s="44"/>
      <c r="V258" s="44"/>
      <c r="W258" s="44" t="s">
        <v>1980</v>
      </c>
      <c r="X258" s="48" t="s">
        <v>1981</v>
      </c>
      <c r="Y258" s="44" t="s">
        <v>1982</v>
      </c>
    </row>
    <row r="259" spans="1:25" x14ac:dyDescent="0.25">
      <c r="A259" s="44" t="s">
        <v>1836</v>
      </c>
      <c r="B259" s="44" t="s">
        <v>226</v>
      </c>
      <c r="C259" s="44" t="s">
        <v>1589</v>
      </c>
      <c r="D259" s="44" t="s">
        <v>146</v>
      </c>
      <c r="E259" s="44" t="s">
        <v>128</v>
      </c>
      <c r="F259" s="44">
        <v>11</v>
      </c>
      <c r="G259" s="44" t="s">
        <v>108</v>
      </c>
      <c r="H259" s="44" t="s">
        <v>121</v>
      </c>
      <c r="I259" s="44" t="s">
        <v>650</v>
      </c>
      <c r="J259" s="44">
        <v>243</v>
      </c>
      <c r="K259" s="44">
        <v>0</v>
      </c>
      <c r="L259" s="45">
        <v>10547</v>
      </c>
      <c r="M259" s="44">
        <v>48900</v>
      </c>
      <c r="N259" s="46">
        <f t="shared" si="8"/>
        <v>4.9693251533742327E-3</v>
      </c>
      <c r="O259" s="47">
        <f t="shared" si="9"/>
        <v>0.21568507157464212</v>
      </c>
      <c r="P259" s="44">
        <v>80</v>
      </c>
      <c r="Q259" s="44">
        <v>7</v>
      </c>
      <c r="R259" s="44">
        <v>0</v>
      </c>
      <c r="S259" s="44" t="s">
        <v>1067</v>
      </c>
      <c r="T259" s="44" t="s">
        <v>1067</v>
      </c>
      <c r="U259" s="44"/>
      <c r="V259" s="44"/>
      <c r="W259" s="44" t="s">
        <v>1983</v>
      </c>
      <c r="X259" s="48" t="s">
        <v>1984</v>
      </c>
      <c r="Y259" s="44" t="s">
        <v>1985</v>
      </c>
    </row>
    <row r="260" spans="1:25" x14ac:dyDescent="0.25">
      <c r="A260" s="44" t="s">
        <v>1836</v>
      </c>
      <c r="B260" s="44" t="s">
        <v>226</v>
      </c>
      <c r="C260" s="44" t="s">
        <v>1230</v>
      </c>
      <c r="D260" s="44" t="s">
        <v>146</v>
      </c>
      <c r="E260" s="44" t="s">
        <v>134</v>
      </c>
      <c r="F260" s="44">
        <v>9</v>
      </c>
      <c r="G260" s="44" t="s">
        <v>108</v>
      </c>
      <c r="H260" s="44" t="s">
        <v>114</v>
      </c>
      <c r="I260" s="44" t="s">
        <v>656</v>
      </c>
      <c r="J260" s="44">
        <v>329</v>
      </c>
      <c r="K260" s="44">
        <v>4</v>
      </c>
      <c r="L260" s="45">
        <v>41326</v>
      </c>
      <c r="M260" s="44">
        <v>48900</v>
      </c>
      <c r="N260" s="46">
        <f t="shared" si="8"/>
        <v>6.8098159509202456E-3</v>
      </c>
      <c r="O260" s="47">
        <f t="shared" si="9"/>
        <v>0.84511247443762783</v>
      </c>
      <c r="P260" s="44">
        <v>9</v>
      </c>
      <c r="Q260" s="44">
        <v>5</v>
      </c>
      <c r="R260" s="44">
        <v>1</v>
      </c>
      <c r="S260" s="44" t="s">
        <v>1068</v>
      </c>
      <c r="T260" s="44" t="s">
        <v>1068</v>
      </c>
      <c r="U260" s="44"/>
      <c r="V260" s="44"/>
      <c r="W260" s="44" t="s">
        <v>1986</v>
      </c>
      <c r="X260" s="48" t="s">
        <v>1987</v>
      </c>
      <c r="Y260" s="44" t="s">
        <v>1988</v>
      </c>
    </row>
    <row r="261" spans="1:25" x14ac:dyDescent="0.25">
      <c r="A261" s="44" t="s">
        <v>1836</v>
      </c>
      <c r="B261" s="44" t="s">
        <v>226</v>
      </c>
      <c r="C261" s="44" t="s">
        <v>1234</v>
      </c>
      <c r="D261" s="44" t="s">
        <v>146</v>
      </c>
      <c r="E261" s="44" t="s">
        <v>132</v>
      </c>
      <c r="F261" s="44">
        <v>11</v>
      </c>
      <c r="G261" s="44" t="s">
        <v>108</v>
      </c>
      <c r="H261" s="44" t="s">
        <v>115</v>
      </c>
      <c r="I261" s="44" t="s">
        <v>656</v>
      </c>
      <c r="J261" s="44">
        <v>121</v>
      </c>
      <c r="K261" s="44">
        <v>2</v>
      </c>
      <c r="L261" s="45">
        <v>4759</v>
      </c>
      <c r="M261" s="44">
        <v>48900</v>
      </c>
      <c r="N261" s="46">
        <f t="shared" si="8"/>
        <v>2.5153374233128833E-3</v>
      </c>
      <c r="O261" s="47">
        <f t="shared" si="9"/>
        <v>9.7321063394683022E-2</v>
      </c>
      <c r="P261" s="44">
        <v>76</v>
      </c>
      <c r="Q261" s="44">
        <v>6</v>
      </c>
      <c r="R261" s="44">
        <v>0</v>
      </c>
      <c r="S261" s="44" t="s">
        <v>1068</v>
      </c>
      <c r="T261" s="44" t="s">
        <v>1068</v>
      </c>
      <c r="U261" s="44"/>
      <c r="V261" s="44"/>
      <c r="W261" s="44" t="s">
        <v>1989</v>
      </c>
      <c r="X261" s="48" t="s">
        <v>1990</v>
      </c>
      <c r="Y261" s="44" t="s">
        <v>1991</v>
      </c>
    </row>
    <row r="262" spans="1:25" x14ac:dyDescent="0.25">
      <c r="A262" s="44" t="s">
        <v>1836</v>
      </c>
      <c r="B262" s="44" t="s">
        <v>226</v>
      </c>
      <c r="C262" s="44" t="s">
        <v>1238</v>
      </c>
      <c r="D262" s="44" t="s">
        <v>146</v>
      </c>
      <c r="E262" s="44" t="s">
        <v>130</v>
      </c>
      <c r="F262" s="44">
        <v>13</v>
      </c>
      <c r="G262" s="44" t="s">
        <v>108</v>
      </c>
      <c r="H262" s="44" t="s">
        <v>122</v>
      </c>
      <c r="I262" s="44" t="s">
        <v>656</v>
      </c>
      <c r="J262" s="44">
        <v>146</v>
      </c>
      <c r="K262" s="44">
        <v>2</v>
      </c>
      <c r="L262" s="45">
        <v>14245</v>
      </c>
      <c r="M262" s="44">
        <v>48900</v>
      </c>
      <c r="N262" s="46">
        <f t="shared" si="8"/>
        <v>3.0265848670756644E-3</v>
      </c>
      <c r="O262" s="47">
        <f t="shared" si="9"/>
        <v>0.29130879345603272</v>
      </c>
      <c r="P262" s="44">
        <v>22</v>
      </c>
      <c r="Q262" s="44">
        <v>5</v>
      </c>
      <c r="R262" s="44">
        <v>1</v>
      </c>
      <c r="S262" s="44" t="s">
        <v>1068</v>
      </c>
      <c r="T262" s="44" t="s">
        <v>1068</v>
      </c>
      <c r="U262" s="44"/>
      <c r="V262" s="44"/>
      <c r="W262" s="44" t="s">
        <v>1992</v>
      </c>
      <c r="X262" s="48" t="s">
        <v>1993</v>
      </c>
      <c r="Y262" s="44" t="s">
        <v>1994</v>
      </c>
    </row>
    <row r="263" spans="1:25" x14ac:dyDescent="0.25">
      <c r="A263" s="44" t="s">
        <v>1836</v>
      </c>
      <c r="B263" s="44" t="s">
        <v>226</v>
      </c>
      <c r="C263" s="44" t="s">
        <v>1593</v>
      </c>
      <c r="D263" s="44" t="s">
        <v>146</v>
      </c>
      <c r="E263" s="44" t="s">
        <v>128</v>
      </c>
      <c r="F263" s="44">
        <v>11</v>
      </c>
      <c r="G263" s="44" t="s">
        <v>108</v>
      </c>
      <c r="H263" s="44" t="s">
        <v>121</v>
      </c>
      <c r="I263" s="44" t="s">
        <v>650</v>
      </c>
      <c r="J263" s="44">
        <v>1972</v>
      </c>
      <c r="K263" s="44">
        <v>30</v>
      </c>
      <c r="L263" s="45">
        <v>73989</v>
      </c>
      <c r="M263" s="44">
        <v>48900</v>
      </c>
      <c r="N263" s="46">
        <f t="shared" si="8"/>
        <v>4.094069529652352E-2</v>
      </c>
      <c r="O263" s="47">
        <f t="shared" si="9"/>
        <v>1.5130674846625767</v>
      </c>
      <c r="P263" s="44">
        <v>67</v>
      </c>
      <c r="Q263" s="44">
        <v>6</v>
      </c>
      <c r="R263" s="44">
        <v>0</v>
      </c>
      <c r="S263" s="44" t="s">
        <v>1067</v>
      </c>
      <c r="T263" s="44" t="s">
        <v>1067</v>
      </c>
      <c r="U263" s="44"/>
      <c r="V263" s="44"/>
      <c r="W263" s="44" t="s">
        <v>1995</v>
      </c>
      <c r="X263" s="48" t="s">
        <v>1996</v>
      </c>
      <c r="Y263" s="44" t="s">
        <v>1997</v>
      </c>
    </row>
    <row r="264" spans="1:25" x14ac:dyDescent="0.25">
      <c r="A264" s="44" t="s">
        <v>1836</v>
      </c>
      <c r="B264" s="44" t="s">
        <v>226</v>
      </c>
      <c r="C264" s="44" t="s">
        <v>1597</v>
      </c>
      <c r="D264" s="44" t="s">
        <v>146</v>
      </c>
      <c r="E264" s="44" t="s">
        <v>137</v>
      </c>
      <c r="F264" s="44">
        <v>12</v>
      </c>
      <c r="G264" s="44" t="s">
        <v>108</v>
      </c>
      <c r="H264" s="44" t="s">
        <v>121</v>
      </c>
      <c r="I264" s="44" t="s">
        <v>650</v>
      </c>
      <c r="J264" s="44">
        <v>946</v>
      </c>
      <c r="K264" s="44">
        <v>12</v>
      </c>
      <c r="L264" s="45">
        <v>43454</v>
      </c>
      <c r="M264" s="44">
        <v>48900</v>
      </c>
      <c r="N264" s="46">
        <f t="shared" si="8"/>
        <v>1.9591002044989776E-2</v>
      </c>
      <c r="O264" s="47">
        <f t="shared" si="9"/>
        <v>0.88862985685071572</v>
      </c>
      <c r="P264" s="44">
        <v>67</v>
      </c>
      <c r="Q264" s="44">
        <v>5</v>
      </c>
      <c r="R264" s="44">
        <v>0</v>
      </c>
      <c r="S264" s="44" t="s">
        <v>1067</v>
      </c>
      <c r="T264" s="44" t="s">
        <v>1067</v>
      </c>
      <c r="U264" s="44"/>
      <c r="V264" s="44"/>
      <c r="W264" s="44" t="s">
        <v>1998</v>
      </c>
      <c r="X264" s="48" t="s">
        <v>1999</v>
      </c>
      <c r="Y264" s="44" t="s">
        <v>2000</v>
      </c>
    </row>
    <row r="265" spans="1:25" x14ac:dyDescent="0.25">
      <c r="A265" s="44" t="s">
        <v>1836</v>
      </c>
      <c r="B265" s="44" t="s">
        <v>226</v>
      </c>
      <c r="C265" s="44" t="s">
        <v>1242</v>
      </c>
      <c r="D265" s="44" t="s">
        <v>146</v>
      </c>
      <c r="E265" s="44" t="s">
        <v>134</v>
      </c>
      <c r="F265" s="44">
        <v>9</v>
      </c>
      <c r="G265" s="44" t="s">
        <v>108</v>
      </c>
      <c r="H265" s="44" t="s">
        <v>114</v>
      </c>
      <c r="I265" s="44" t="s">
        <v>650</v>
      </c>
      <c r="J265" s="44">
        <v>455</v>
      </c>
      <c r="K265" s="44">
        <v>6</v>
      </c>
      <c r="L265" s="45">
        <v>23341</v>
      </c>
      <c r="M265" s="44">
        <v>48900</v>
      </c>
      <c r="N265" s="46">
        <f t="shared" si="8"/>
        <v>9.4274028629856843E-3</v>
      </c>
      <c r="O265" s="47">
        <f t="shared" si="9"/>
        <v>0.47732106339468305</v>
      </c>
      <c r="P265" s="44">
        <v>14</v>
      </c>
      <c r="Q265" s="44">
        <v>5</v>
      </c>
      <c r="R265" s="44">
        <v>0</v>
      </c>
      <c r="S265" s="44" t="s">
        <v>1067</v>
      </c>
      <c r="T265" s="44" t="s">
        <v>1067</v>
      </c>
      <c r="U265" s="44"/>
      <c r="V265" s="44"/>
      <c r="W265" s="44" t="s">
        <v>2001</v>
      </c>
      <c r="X265" s="48" t="s">
        <v>2002</v>
      </c>
      <c r="Y265" s="44" t="s">
        <v>2003</v>
      </c>
    </row>
    <row r="266" spans="1:25" x14ac:dyDescent="0.25">
      <c r="A266" s="44" t="s">
        <v>1836</v>
      </c>
      <c r="B266" s="44" t="s">
        <v>226</v>
      </c>
      <c r="C266" s="44" t="s">
        <v>2004</v>
      </c>
      <c r="D266" s="44" t="s">
        <v>146</v>
      </c>
      <c r="E266" s="44" t="s">
        <v>132</v>
      </c>
      <c r="F266" s="44">
        <v>10</v>
      </c>
      <c r="G266" s="44" t="s">
        <v>108</v>
      </c>
      <c r="H266" s="44" t="s">
        <v>121</v>
      </c>
      <c r="I266" s="44" t="s">
        <v>656</v>
      </c>
      <c r="J266" s="44">
        <v>40</v>
      </c>
      <c r="K266" s="44">
        <v>0</v>
      </c>
      <c r="L266" s="45">
        <v>2788</v>
      </c>
      <c r="M266" s="44">
        <v>48900</v>
      </c>
      <c r="N266" s="46">
        <f t="shared" si="8"/>
        <v>8.1799591002044991E-4</v>
      </c>
      <c r="O266" s="47">
        <f t="shared" si="9"/>
        <v>5.7014314928425361E-2</v>
      </c>
      <c r="P266" s="44">
        <v>67</v>
      </c>
      <c r="Q266" s="44">
        <v>7</v>
      </c>
      <c r="R266" s="44">
        <v>0</v>
      </c>
      <c r="S266" s="44" t="s">
        <v>1068</v>
      </c>
      <c r="T266" s="44" t="s">
        <v>1068</v>
      </c>
      <c r="U266" s="44"/>
      <c r="V266" s="44"/>
      <c r="W266" s="44" t="s">
        <v>2005</v>
      </c>
      <c r="X266" s="48" t="s">
        <v>2006</v>
      </c>
      <c r="Y266" s="44" t="s">
        <v>2007</v>
      </c>
    </row>
    <row r="267" spans="1:25" x14ac:dyDescent="0.25">
      <c r="A267" s="44" t="s">
        <v>1836</v>
      </c>
      <c r="B267" s="44" t="s">
        <v>226</v>
      </c>
      <c r="C267" s="44" t="s">
        <v>1259</v>
      </c>
      <c r="D267" s="44" t="s">
        <v>145</v>
      </c>
      <c r="E267" s="44" t="s">
        <v>134</v>
      </c>
      <c r="F267" s="44">
        <v>10</v>
      </c>
      <c r="G267" s="44" t="s">
        <v>108</v>
      </c>
      <c r="H267" s="44" t="s">
        <v>121</v>
      </c>
      <c r="I267" s="44" t="s">
        <v>656</v>
      </c>
      <c r="J267" s="44">
        <v>324</v>
      </c>
      <c r="K267" s="44">
        <v>0</v>
      </c>
      <c r="L267" s="45">
        <v>19647</v>
      </c>
      <c r="M267" s="44">
        <v>48900</v>
      </c>
      <c r="N267" s="46">
        <f t="shared" si="8"/>
        <v>6.6257668711656439E-3</v>
      </c>
      <c r="O267" s="47">
        <f t="shared" si="9"/>
        <v>0.40177914110429447</v>
      </c>
      <c r="P267" s="44">
        <v>14</v>
      </c>
      <c r="Q267" s="44">
        <v>5</v>
      </c>
      <c r="R267" s="44">
        <v>1</v>
      </c>
      <c r="S267" s="44" t="s">
        <v>1068</v>
      </c>
      <c r="T267" s="44" t="s">
        <v>1068</v>
      </c>
      <c r="U267" s="44"/>
      <c r="V267" s="44"/>
      <c r="W267" s="44" t="s">
        <v>2008</v>
      </c>
      <c r="X267" s="48" t="s">
        <v>2009</v>
      </c>
      <c r="Y267" s="44" t="s">
        <v>2010</v>
      </c>
    </row>
    <row r="268" spans="1:25" x14ac:dyDescent="0.25">
      <c r="A268" s="44" t="s">
        <v>1836</v>
      </c>
      <c r="B268" s="44" t="s">
        <v>226</v>
      </c>
      <c r="C268" s="44" t="s">
        <v>2011</v>
      </c>
      <c r="D268" s="44" t="s">
        <v>145</v>
      </c>
      <c r="E268" s="44" t="s">
        <v>132</v>
      </c>
      <c r="F268" s="44">
        <v>10</v>
      </c>
      <c r="G268" s="44" t="s">
        <v>108</v>
      </c>
      <c r="H268" s="44" t="s">
        <v>122</v>
      </c>
      <c r="I268" s="44" t="s">
        <v>656</v>
      </c>
      <c r="J268" s="44">
        <v>114</v>
      </c>
      <c r="K268" s="44">
        <v>20</v>
      </c>
      <c r="L268" s="45">
        <v>3954</v>
      </c>
      <c r="M268" s="44">
        <v>48900</v>
      </c>
      <c r="N268" s="46">
        <f t="shared" si="8"/>
        <v>2.7402862985685074E-3</v>
      </c>
      <c r="O268" s="47">
        <f t="shared" si="9"/>
        <v>8.0858895705521475E-2</v>
      </c>
      <c r="P268" s="44">
        <v>72</v>
      </c>
      <c r="Q268" s="44">
        <v>5</v>
      </c>
      <c r="R268" s="44">
        <v>0</v>
      </c>
      <c r="S268" s="44" t="s">
        <v>1068</v>
      </c>
      <c r="T268" s="44" t="s">
        <v>1068</v>
      </c>
      <c r="U268" s="44"/>
      <c r="V268" s="44"/>
      <c r="W268" s="44" t="s">
        <v>2012</v>
      </c>
      <c r="X268" s="48" t="s">
        <v>2013</v>
      </c>
      <c r="Y268" s="44" t="s">
        <v>2014</v>
      </c>
    </row>
    <row r="269" spans="1:25" x14ac:dyDescent="0.25">
      <c r="A269" s="44" t="s">
        <v>1836</v>
      </c>
      <c r="B269" s="44" t="s">
        <v>226</v>
      </c>
      <c r="C269" s="44" t="s">
        <v>2015</v>
      </c>
      <c r="D269" s="44" t="s">
        <v>145</v>
      </c>
      <c r="E269" s="44" t="s">
        <v>128</v>
      </c>
      <c r="F269" s="44">
        <v>10</v>
      </c>
      <c r="G269" s="44" t="s">
        <v>108</v>
      </c>
      <c r="H269" s="44" t="s">
        <v>121</v>
      </c>
      <c r="I269" s="44" t="s">
        <v>650</v>
      </c>
      <c r="J269" s="44">
        <v>1432</v>
      </c>
      <c r="K269" s="44">
        <v>6</v>
      </c>
      <c r="L269" s="45">
        <v>45843</v>
      </c>
      <c r="M269" s="44">
        <v>48900</v>
      </c>
      <c r="N269" s="46">
        <f t="shared" si="8"/>
        <v>2.9406952965235173E-2</v>
      </c>
      <c r="O269" s="47">
        <f t="shared" si="9"/>
        <v>0.93748466257668717</v>
      </c>
      <c r="P269" s="44">
        <v>69</v>
      </c>
      <c r="Q269" s="44">
        <v>6</v>
      </c>
      <c r="R269" s="44">
        <v>0</v>
      </c>
      <c r="S269" s="44" t="s">
        <v>1067</v>
      </c>
      <c r="T269" s="44" t="s">
        <v>1067</v>
      </c>
      <c r="U269" s="44"/>
      <c r="V269" s="44"/>
      <c r="W269" s="44" t="s">
        <v>2016</v>
      </c>
      <c r="X269" s="48" t="s">
        <v>2017</v>
      </c>
      <c r="Y269" s="44" t="s">
        <v>2018</v>
      </c>
    </row>
    <row r="270" spans="1:25" x14ac:dyDescent="0.25">
      <c r="A270" s="44" t="s">
        <v>1836</v>
      </c>
      <c r="B270" s="44" t="s">
        <v>226</v>
      </c>
      <c r="C270" s="44" t="s">
        <v>2019</v>
      </c>
      <c r="D270" s="44" t="s">
        <v>145</v>
      </c>
      <c r="E270" s="44" t="s">
        <v>134</v>
      </c>
      <c r="F270" s="44">
        <v>10</v>
      </c>
      <c r="G270" s="44" t="s">
        <v>108</v>
      </c>
      <c r="H270" s="44" t="s">
        <v>114</v>
      </c>
      <c r="I270" s="44" t="s">
        <v>656</v>
      </c>
      <c r="J270" s="44">
        <v>289</v>
      </c>
      <c r="K270" s="44">
        <v>7</v>
      </c>
      <c r="L270" s="45">
        <v>38532</v>
      </c>
      <c r="M270" s="44">
        <v>48900</v>
      </c>
      <c r="N270" s="46">
        <f t="shared" si="8"/>
        <v>6.0531697341513289E-3</v>
      </c>
      <c r="O270" s="47">
        <f t="shared" si="9"/>
        <v>0.78797546012269937</v>
      </c>
      <c r="P270" s="44">
        <v>16</v>
      </c>
      <c r="Q270" s="44">
        <v>4</v>
      </c>
      <c r="R270" s="44">
        <v>1</v>
      </c>
      <c r="S270" s="44" t="s">
        <v>1068</v>
      </c>
      <c r="T270" s="44" t="s">
        <v>1067</v>
      </c>
      <c r="U270" s="44"/>
      <c r="V270" s="44"/>
      <c r="W270" s="44" t="s">
        <v>2020</v>
      </c>
      <c r="X270" s="48" t="s">
        <v>2021</v>
      </c>
      <c r="Y270" s="44" t="s">
        <v>2022</v>
      </c>
    </row>
    <row r="271" spans="1:25" x14ac:dyDescent="0.25">
      <c r="A271" s="44" t="s">
        <v>1836</v>
      </c>
      <c r="B271" s="44" t="s">
        <v>226</v>
      </c>
      <c r="C271" s="44" t="s">
        <v>1278</v>
      </c>
      <c r="D271" s="44" t="s">
        <v>145</v>
      </c>
      <c r="E271" s="44" t="s">
        <v>132</v>
      </c>
      <c r="F271" s="44">
        <v>13</v>
      </c>
      <c r="G271" s="44" t="s">
        <v>108</v>
      </c>
      <c r="H271" s="44" t="s">
        <v>117</v>
      </c>
      <c r="I271" s="44" t="s">
        <v>629</v>
      </c>
      <c r="J271" s="44">
        <v>116</v>
      </c>
      <c r="K271" s="44">
        <v>21</v>
      </c>
      <c r="L271" s="45">
        <v>3915</v>
      </c>
      <c r="M271" s="44">
        <v>48900</v>
      </c>
      <c r="N271" s="46">
        <f t="shared" si="8"/>
        <v>2.8016359918200408E-3</v>
      </c>
      <c r="O271" s="47">
        <f t="shared" si="9"/>
        <v>8.006134969325153E-2</v>
      </c>
      <c r="P271" s="44">
        <v>66</v>
      </c>
      <c r="Q271" s="44">
        <v>5</v>
      </c>
      <c r="R271" s="44">
        <v>0</v>
      </c>
      <c r="S271" s="44" t="s">
        <v>1068</v>
      </c>
      <c r="T271" s="44" t="s">
        <v>1068</v>
      </c>
      <c r="U271" s="44"/>
      <c r="V271" s="44"/>
      <c r="W271" s="44" t="s">
        <v>2023</v>
      </c>
      <c r="X271" s="48" t="s">
        <v>2024</v>
      </c>
      <c r="Y271" s="44" t="s">
        <v>2025</v>
      </c>
    </row>
    <row r="272" spans="1:25" x14ac:dyDescent="0.25">
      <c r="A272" s="44" t="s">
        <v>1836</v>
      </c>
      <c r="B272" s="44" t="s">
        <v>226</v>
      </c>
      <c r="C272" s="44" t="s">
        <v>1282</v>
      </c>
      <c r="D272" s="44" t="s">
        <v>145</v>
      </c>
      <c r="E272" s="44" t="s">
        <v>128</v>
      </c>
      <c r="F272" s="44">
        <v>10</v>
      </c>
      <c r="G272" s="44" t="s">
        <v>108</v>
      </c>
      <c r="H272" s="44" t="s">
        <v>121</v>
      </c>
      <c r="I272" s="44" t="s">
        <v>650</v>
      </c>
      <c r="J272" s="44">
        <v>343</v>
      </c>
      <c r="K272" s="44">
        <v>6</v>
      </c>
      <c r="L272" s="45">
        <v>14354</v>
      </c>
      <c r="M272" s="44">
        <v>48900</v>
      </c>
      <c r="N272" s="46">
        <f t="shared" si="8"/>
        <v>7.137014314928425E-3</v>
      </c>
      <c r="O272" s="47">
        <f t="shared" si="9"/>
        <v>0.29353783231083846</v>
      </c>
      <c r="P272" s="44">
        <v>70</v>
      </c>
      <c r="Q272" s="44">
        <v>7</v>
      </c>
      <c r="R272" s="44">
        <v>0</v>
      </c>
      <c r="S272" s="44" t="s">
        <v>1067</v>
      </c>
      <c r="T272" s="44" t="s">
        <v>1067</v>
      </c>
      <c r="U272" s="44"/>
      <c r="V272" s="44"/>
      <c r="W272" s="44" t="s">
        <v>2026</v>
      </c>
      <c r="X272" s="48" t="s">
        <v>2027</v>
      </c>
      <c r="Y272" s="44" t="s">
        <v>2028</v>
      </c>
    </row>
    <row r="273" spans="1:25" x14ac:dyDescent="0.25">
      <c r="A273" s="44" t="s">
        <v>1836</v>
      </c>
      <c r="B273" s="44" t="s">
        <v>226</v>
      </c>
      <c r="C273" s="44" t="s">
        <v>1293</v>
      </c>
      <c r="D273" s="44" t="s">
        <v>145</v>
      </c>
      <c r="E273" s="44" t="s">
        <v>134</v>
      </c>
      <c r="F273" s="44">
        <v>10</v>
      </c>
      <c r="G273" s="44" t="s">
        <v>108</v>
      </c>
      <c r="H273" s="44" t="s">
        <v>114</v>
      </c>
      <c r="I273" s="44" t="s">
        <v>656</v>
      </c>
      <c r="J273" s="44">
        <v>300</v>
      </c>
      <c r="K273" s="44">
        <v>2</v>
      </c>
      <c r="L273" s="45">
        <v>25359</v>
      </c>
      <c r="M273" s="44">
        <v>48900</v>
      </c>
      <c r="N273" s="46">
        <f t="shared" si="8"/>
        <v>6.1758691206543967E-3</v>
      </c>
      <c r="O273" s="47">
        <f t="shared" si="9"/>
        <v>0.51858895705521468</v>
      </c>
      <c r="P273" s="44">
        <v>14</v>
      </c>
      <c r="Q273" s="44">
        <v>5</v>
      </c>
      <c r="R273" s="44">
        <v>1</v>
      </c>
      <c r="S273" s="44" t="s">
        <v>1068</v>
      </c>
      <c r="T273" s="44" t="s">
        <v>1068</v>
      </c>
      <c r="U273" s="44"/>
      <c r="V273" s="44"/>
      <c r="W273" s="44" t="s">
        <v>2029</v>
      </c>
      <c r="X273" s="48" t="s">
        <v>2030</v>
      </c>
      <c r="Y273" s="44" t="s">
        <v>2031</v>
      </c>
    </row>
    <row r="274" spans="1:25" x14ac:dyDescent="0.25">
      <c r="A274" s="44" t="s">
        <v>1836</v>
      </c>
      <c r="B274" s="44" t="s">
        <v>226</v>
      </c>
      <c r="C274" s="44" t="s">
        <v>161</v>
      </c>
      <c r="D274" s="44" t="s">
        <v>145</v>
      </c>
      <c r="E274" s="44" t="s">
        <v>132</v>
      </c>
      <c r="F274" s="44">
        <v>10</v>
      </c>
      <c r="G274" s="44" t="s">
        <v>108</v>
      </c>
      <c r="H274" s="44" t="s">
        <v>115</v>
      </c>
      <c r="I274" s="44" t="s">
        <v>656</v>
      </c>
      <c r="J274" s="44">
        <v>48</v>
      </c>
      <c r="K274" s="44">
        <v>0</v>
      </c>
      <c r="L274" s="45">
        <v>3074</v>
      </c>
      <c r="M274" s="44">
        <v>48900</v>
      </c>
      <c r="N274" s="46">
        <f t="shared" si="8"/>
        <v>9.8159509202453993E-4</v>
      </c>
      <c r="O274" s="47">
        <f t="shared" si="9"/>
        <v>6.2862985685071579E-2</v>
      </c>
      <c r="P274" s="44">
        <v>91</v>
      </c>
      <c r="Q274" s="44">
        <v>5</v>
      </c>
      <c r="R274" s="44">
        <v>0</v>
      </c>
      <c r="S274" s="44" t="s">
        <v>1068</v>
      </c>
      <c r="T274" s="44" t="s">
        <v>1068</v>
      </c>
      <c r="U274" s="44"/>
      <c r="V274" s="44"/>
      <c r="W274" s="44" t="s">
        <v>2032</v>
      </c>
      <c r="X274" s="48" t="s">
        <v>2033</v>
      </c>
      <c r="Y274" s="44" t="s">
        <v>2034</v>
      </c>
    </row>
    <row r="275" spans="1:25" x14ac:dyDescent="0.25">
      <c r="A275" s="44" t="s">
        <v>1836</v>
      </c>
      <c r="B275" s="44" t="s">
        <v>226</v>
      </c>
      <c r="C275" s="44" t="s">
        <v>1299</v>
      </c>
      <c r="D275" s="44" t="s">
        <v>145</v>
      </c>
      <c r="E275" s="44" t="s">
        <v>130</v>
      </c>
      <c r="F275" s="44">
        <v>13</v>
      </c>
      <c r="G275" s="44" t="s">
        <v>108</v>
      </c>
      <c r="H275" s="44" t="s">
        <v>117</v>
      </c>
      <c r="I275" s="44" t="s">
        <v>629</v>
      </c>
      <c r="J275" s="44">
        <v>114</v>
      </c>
      <c r="K275" s="44">
        <v>0</v>
      </c>
      <c r="L275" s="45">
        <v>3580</v>
      </c>
      <c r="M275" s="44">
        <v>48900</v>
      </c>
      <c r="N275" s="46">
        <f t="shared" si="8"/>
        <v>2.331288343558282E-3</v>
      </c>
      <c r="O275" s="47">
        <f t="shared" si="9"/>
        <v>7.3210633946830264E-2</v>
      </c>
      <c r="P275" s="44">
        <v>93</v>
      </c>
      <c r="Q275" s="44">
        <v>5</v>
      </c>
      <c r="R275" s="44">
        <v>0</v>
      </c>
      <c r="S275" s="44" t="s">
        <v>1068</v>
      </c>
      <c r="T275" s="44" t="s">
        <v>1068</v>
      </c>
      <c r="U275" s="44"/>
      <c r="V275" s="44"/>
      <c r="W275" s="44" t="s">
        <v>2035</v>
      </c>
      <c r="X275" s="48" t="s">
        <v>2036</v>
      </c>
      <c r="Y275" s="44" t="s">
        <v>2037</v>
      </c>
    </row>
    <row r="276" spans="1:25" x14ac:dyDescent="0.25">
      <c r="A276" s="44" t="s">
        <v>1836</v>
      </c>
      <c r="B276" s="44" t="s">
        <v>226</v>
      </c>
      <c r="C276" s="44" t="s">
        <v>1628</v>
      </c>
      <c r="D276" s="44" t="s">
        <v>145</v>
      </c>
      <c r="E276" s="44" t="s">
        <v>128</v>
      </c>
      <c r="F276" s="44">
        <v>9</v>
      </c>
      <c r="G276" s="44" t="s">
        <v>108</v>
      </c>
      <c r="H276" s="44" t="s">
        <v>121</v>
      </c>
      <c r="I276" s="44" t="s">
        <v>656</v>
      </c>
      <c r="J276" s="44">
        <v>1256</v>
      </c>
      <c r="K276" s="44">
        <v>13</v>
      </c>
      <c r="L276" s="45">
        <v>59693</v>
      </c>
      <c r="M276" s="44">
        <v>48900</v>
      </c>
      <c r="N276" s="46">
        <f t="shared" si="8"/>
        <v>2.5950920245398773E-2</v>
      </c>
      <c r="O276" s="47">
        <f t="shared" si="9"/>
        <v>1.2207157464212679</v>
      </c>
      <c r="P276" s="44">
        <v>70</v>
      </c>
      <c r="Q276" s="44">
        <v>5</v>
      </c>
      <c r="R276" s="44">
        <v>0</v>
      </c>
      <c r="S276" s="44" t="s">
        <v>1067</v>
      </c>
      <c r="T276" s="44" t="s">
        <v>1068</v>
      </c>
      <c r="U276" s="44"/>
      <c r="V276" s="44"/>
      <c r="W276" s="44" t="s">
        <v>2038</v>
      </c>
      <c r="X276" s="48" t="s">
        <v>2039</v>
      </c>
      <c r="Y276" s="44" t="s">
        <v>2040</v>
      </c>
    </row>
    <row r="277" spans="1:25" x14ac:dyDescent="0.25">
      <c r="A277" s="44" t="s">
        <v>1836</v>
      </c>
      <c r="B277" s="44" t="s">
        <v>226</v>
      </c>
      <c r="C277" s="44" t="s">
        <v>167</v>
      </c>
      <c r="D277" s="44" t="s">
        <v>145</v>
      </c>
      <c r="E277" s="44" t="s">
        <v>126</v>
      </c>
      <c r="F277" s="44">
        <v>11</v>
      </c>
      <c r="G277" s="44" t="s">
        <v>109</v>
      </c>
      <c r="H277" s="44" t="s">
        <v>542</v>
      </c>
      <c r="I277" s="44" t="s">
        <v>656</v>
      </c>
      <c r="J277" s="44">
        <v>26</v>
      </c>
      <c r="K277" s="44">
        <v>1</v>
      </c>
      <c r="L277" s="45"/>
      <c r="M277" s="44">
        <v>48900</v>
      </c>
      <c r="N277" s="46">
        <f t="shared" si="8"/>
        <v>5.5214723926380366E-4</v>
      </c>
      <c r="O277" s="47" t="str">
        <f t="shared" si="9"/>
        <v/>
      </c>
      <c r="P277" s="44">
        <v>108</v>
      </c>
      <c r="Q277" s="44">
        <v>8</v>
      </c>
      <c r="R277" s="44">
        <v>0</v>
      </c>
      <c r="S277" s="44" t="s">
        <v>1067</v>
      </c>
      <c r="T277" s="44" t="s">
        <v>1068</v>
      </c>
      <c r="U277" s="44"/>
      <c r="V277" s="44"/>
      <c r="W277" s="44" t="s">
        <v>2041</v>
      </c>
      <c r="X277" s="48" t="s">
        <v>2042</v>
      </c>
      <c r="Y277" s="44" t="s">
        <v>2043</v>
      </c>
    </row>
    <row r="278" spans="1:25" x14ac:dyDescent="0.25">
      <c r="A278" s="44" t="s">
        <v>1836</v>
      </c>
      <c r="B278" s="44" t="s">
        <v>226</v>
      </c>
      <c r="C278" s="44" t="s">
        <v>2044</v>
      </c>
      <c r="D278" s="44" t="s">
        <v>145</v>
      </c>
      <c r="E278" s="44" t="s">
        <v>134</v>
      </c>
      <c r="F278" s="44">
        <v>11</v>
      </c>
      <c r="G278" s="44" t="s">
        <v>108</v>
      </c>
      <c r="H278" s="44" t="s">
        <v>114</v>
      </c>
      <c r="I278" s="44" t="s">
        <v>656</v>
      </c>
      <c r="J278" s="44">
        <v>373</v>
      </c>
      <c r="K278" s="44">
        <v>5</v>
      </c>
      <c r="L278" s="45">
        <v>45569</v>
      </c>
      <c r="M278" s="44">
        <v>48900</v>
      </c>
      <c r="N278" s="46">
        <f t="shared" si="8"/>
        <v>7.7300613496932517E-3</v>
      </c>
      <c r="O278" s="47">
        <f t="shared" si="9"/>
        <v>0.93188139059304709</v>
      </c>
      <c r="P278" s="44">
        <v>17</v>
      </c>
      <c r="Q278" s="44">
        <v>5</v>
      </c>
      <c r="R278" s="44">
        <v>0</v>
      </c>
      <c r="S278" s="44" t="s">
        <v>1068</v>
      </c>
      <c r="T278" s="44" t="s">
        <v>1067</v>
      </c>
      <c r="U278" s="44"/>
      <c r="V278" s="44"/>
      <c r="W278" s="44" t="s">
        <v>2045</v>
      </c>
      <c r="X278" s="48" t="s">
        <v>2046</v>
      </c>
      <c r="Y278" s="44" t="s">
        <v>2047</v>
      </c>
    </row>
    <row r="279" spans="1:25" x14ac:dyDescent="0.25">
      <c r="A279" s="44" t="s">
        <v>1836</v>
      </c>
      <c r="B279" s="44" t="s">
        <v>226</v>
      </c>
      <c r="C279" s="44" t="s">
        <v>1632</v>
      </c>
      <c r="D279" s="44" t="s">
        <v>145</v>
      </c>
      <c r="E279" s="44" t="s">
        <v>132</v>
      </c>
      <c r="F279" s="44">
        <v>11</v>
      </c>
      <c r="G279" s="44" t="s">
        <v>108</v>
      </c>
      <c r="H279" s="44" t="s">
        <v>117</v>
      </c>
      <c r="I279" s="44" t="s">
        <v>656</v>
      </c>
      <c r="J279" s="44">
        <v>79</v>
      </c>
      <c r="K279" s="44">
        <v>2</v>
      </c>
      <c r="L279" s="45">
        <v>4074</v>
      </c>
      <c r="M279" s="44">
        <v>48900</v>
      </c>
      <c r="N279" s="46">
        <f t="shared" si="8"/>
        <v>1.656441717791411E-3</v>
      </c>
      <c r="O279" s="47">
        <f t="shared" si="9"/>
        <v>8.3312883435582824E-2</v>
      </c>
      <c r="P279" s="44">
        <v>79</v>
      </c>
      <c r="Q279" s="44">
        <v>5</v>
      </c>
      <c r="R279" s="44">
        <v>0</v>
      </c>
      <c r="S279" s="44" t="s">
        <v>1068</v>
      </c>
      <c r="T279" s="44" t="s">
        <v>1068</v>
      </c>
      <c r="U279" s="44"/>
      <c r="V279" s="44"/>
      <c r="W279" s="44" t="s">
        <v>2048</v>
      </c>
      <c r="X279" s="48" t="s">
        <v>2049</v>
      </c>
      <c r="Y279" s="44" t="s">
        <v>2050</v>
      </c>
    </row>
    <row r="280" spans="1:25" x14ac:dyDescent="0.25">
      <c r="A280" s="44" t="s">
        <v>1836</v>
      </c>
      <c r="B280" s="44" t="s">
        <v>226</v>
      </c>
      <c r="C280" s="44" t="s">
        <v>2051</v>
      </c>
      <c r="D280" s="44" t="s">
        <v>145</v>
      </c>
      <c r="E280" s="44" t="s">
        <v>128</v>
      </c>
      <c r="F280" s="44">
        <v>11</v>
      </c>
      <c r="G280" s="44" t="s">
        <v>108</v>
      </c>
      <c r="H280" s="44" t="s">
        <v>121</v>
      </c>
      <c r="I280" s="44" t="s">
        <v>656</v>
      </c>
      <c r="J280" s="44">
        <v>968</v>
      </c>
      <c r="K280" s="44">
        <v>9</v>
      </c>
      <c r="L280" s="45">
        <v>30221</v>
      </c>
      <c r="M280" s="44">
        <v>48900</v>
      </c>
      <c r="N280" s="46">
        <f t="shared" si="8"/>
        <v>1.9979550102249489E-2</v>
      </c>
      <c r="O280" s="47">
        <f t="shared" si="9"/>
        <v>0.61801635991820036</v>
      </c>
      <c r="P280" s="44">
        <v>90</v>
      </c>
      <c r="Q280" s="44">
        <v>5</v>
      </c>
      <c r="R280" s="44">
        <v>0</v>
      </c>
      <c r="S280" s="44" t="s">
        <v>1068</v>
      </c>
      <c r="T280" s="44" t="s">
        <v>1068</v>
      </c>
      <c r="U280" s="44"/>
      <c r="V280" s="44"/>
      <c r="W280" s="44" t="s">
        <v>2052</v>
      </c>
      <c r="X280" s="48" t="s">
        <v>2053</v>
      </c>
      <c r="Y280" s="44" t="s">
        <v>2054</v>
      </c>
    </row>
    <row r="281" spans="1:25" x14ac:dyDescent="0.25">
      <c r="A281" s="44" t="s">
        <v>1836</v>
      </c>
      <c r="B281" s="44" t="s">
        <v>226</v>
      </c>
      <c r="C281" s="44" t="s">
        <v>2055</v>
      </c>
      <c r="D281" s="44" t="s">
        <v>144</v>
      </c>
      <c r="E281" s="44" t="s">
        <v>134</v>
      </c>
      <c r="F281" s="44">
        <v>11</v>
      </c>
      <c r="G281" s="44" t="s">
        <v>108</v>
      </c>
      <c r="H281" s="44" t="s">
        <v>122</v>
      </c>
      <c r="I281" s="44" t="s">
        <v>656</v>
      </c>
      <c r="J281" s="44">
        <v>528</v>
      </c>
      <c r="K281" s="44">
        <v>3</v>
      </c>
      <c r="L281" s="45">
        <v>35099</v>
      </c>
      <c r="M281" s="44">
        <v>48900</v>
      </c>
      <c r="N281" s="46">
        <f t="shared" si="8"/>
        <v>1.0858895705521473E-2</v>
      </c>
      <c r="O281" s="47">
        <f t="shared" si="9"/>
        <v>0.71777096114519423</v>
      </c>
      <c r="P281" s="44">
        <v>10</v>
      </c>
      <c r="Q281" s="44">
        <v>5</v>
      </c>
      <c r="R281" s="44">
        <v>2</v>
      </c>
      <c r="S281" s="44" t="s">
        <v>1068</v>
      </c>
      <c r="T281" s="44" t="s">
        <v>1068</v>
      </c>
      <c r="U281" s="44"/>
      <c r="V281" s="44"/>
      <c r="W281" s="44" t="s">
        <v>2056</v>
      </c>
      <c r="X281" s="48" t="s">
        <v>2057</v>
      </c>
      <c r="Y281" s="44" t="s">
        <v>2058</v>
      </c>
    </row>
    <row r="282" spans="1:25" x14ac:dyDescent="0.25">
      <c r="A282" s="44" t="s">
        <v>1836</v>
      </c>
      <c r="B282" s="44" t="s">
        <v>226</v>
      </c>
      <c r="C282" s="44" t="s">
        <v>2059</v>
      </c>
      <c r="D282" s="44" t="s">
        <v>144</v>
      </c>
      <c r="E282" s="44" t="s">
        <v>132</v>
      </c>
      <c r="F282" s="44">
        <v>12</v>
      </c>
      <c r="G282" s="44" t="s">
        <v>108</v>
      </c>
      <c r="H282" s="44" t="s">
        <v>118</v>
      </c>
      <c r="I282" s="44" t="s">
        <v>656</v>
      </c>
      <c r="J282" s="44">
        <v>58</v>
      </c>
      <c r="K282" s="44">
        <v>0</v>
      </c>
      <c r="L282" s="45">
        <v>2781</v>
      </c>
      <c r="M282" s="44">
        <v>48900</v>
      </c>
      <c r="N282" s="46">
        <f t="shared" si="8"/>
        <v>1.1860940695296524E-3</v>
      </c>
      <c r="O282" s="47">
        <f t="shared" si="9"/>
        <v>5.687116564417178E-2</v>
      </c>
      <c r="P282" s="44">
        <v>83</v>
      </c>
      <c r="Q282" s="44">
        <v>5</v>
      </c>
      <c r="R282" s="44">
        <v>0</v>
      </c>
      <c r="S282" s="44" t="s">
        <v>1068</v>
      </c>
      <c r="T282" s="44" t="s">
        <v>1068</v>
      </c>
      <c r="U282" s="44"/>
      <c r="V282" s="44"/>
      <c r="W282" s="44" t="s">
        <v>2060</v>
      </c>
      <c r="X282" s="48" t="s">
        <v>2061</v>
      </c>
      <c r="Y282" s="44" t="s">
        <v>2062</v>
      </c>
    </row>
    <row r="283" spans="1:25" x14ac:dyDescent="0.25">
      <c r="A283" s="44" t="s">
        <v>1836</v>
      </c>
      <c r="B283" s="44" t="s">
        <v>226</v>
      </c>
      <c r="C283" s="44" t="s">
        <v>1309</v>
      </c>
      <c r="D283" s="44" t="s">
        <v>144</v>
      </c>
      <c r="E283" s="44" t="s">
        <v>128</v>
      </c>
      <c r="F283" s="44">
        <v>9</v>
      </c>
      <c r="G283" s="44" t="s">
        <v>108</v>
      </c>
      <c r="H283" s="44" t="s">
        <v>121</v>
      </c>
      <c r="I283" s="44" t="s">
        <v>656</v>
      </c>
      <c r="J283" s="44">
        <v>302</v>
      </c>
      <c r="K283" s="44">
        <v>3</v>
      </c>
      <c r="L283" s="45">
        <v>18068</v>
      </c>
      <c r="M283" s="44">
        <v>48900</v>
      </c>
      <c r="N283" s="46">
        <f t="shared" si="8"/>
        <v>6.2372188139059306E-3</v>
      </c>
      <c r="O283" s="47">
        <f t="shared" si="9"/>
        <v>0.3694887525562372</v>
      </c>
      <c r="P283" s="44">
        <v>78</v>
      </c>
      <c r="Q283" s="44">
        <v>5</v>
      </c>
      <c r="R283" s="44">
        <v>0</v>
      </c>
      <c r="S283" s="44" t="s">
        <v>1067</v>
      </c>
      <c r="T283" s="44" t="s">
        <v>1068</v>
      </c>
      <c r="U283" s="44"/>
      <c r="V283" s="44"/>
      <c r="W283" s="44" t="s">
        <v>2063</v>
      </c>
      <c r="X283" s="48" t="s">
        <v>2064</v>
      </c>
      <c r="Y283" s="44" t="s">
        <v>2065</v>
      </c>
    </row>
    <row r="284" spans="1:25" x14ac:dyDescent="0.25">
      <c r="A284" s="44" t="s">
        <v>1836</v>
      </c>
      <c r="B284" s="44" t="s">
        <v>226</v>
      </c>
      <c r="C284" s="44" t="s">
        <v>1313</v>
      </c>
      <c r="D284" s="44" t="s">
        <v>144</v>
      </c>
      <c r="E284" s="44" t="s">
        <v>134</v>
      </c>
      <c r="F284" s="44">
        <v>10</v>
      </c>
      <c r="G284" s="44" t="s">
        <v>108</v>
      </c>
      <c r="H284" s="44" t="s">
        <v>114</v>
      </c>
      <c r="I284" s="44" t="s">
        <v>650</v>
      </c>
      <c r="J284" s="44">
        <v>441</v>
      </c>
      <c r="K284" s="44">
        <v>1</v>
      </c>
      <c r="L284" s="45">
        <v>34042</v>
      </c>
      <c r="M284" s="44">
        <v>48900</v>
      </c>
      <c r="N284" s="46">
        <f t="shared" si="8"/>
        <v>9.038854805725971E-3</v>
      </c>
      <c r="O284" s="47">
        <f t="shared" si="9"/>
        <v>0.69615541922290392</v>
      </c>
      <c r="P284" s="44">
        <v>12</v>
      </c>
      <c r="Q284" s="44">
        <v>5</v>
      </c>
      <c r="R284" s="44">
        <v>1</v>
      </c>
      <c r="S284" s="44" t="s">
        <v>1068</v>
      </c>
      <c r="T284" s="44" t="s">
        <v>1067</v>
      </c>
      <c r="U284" s="44"/>
      <c r="V284" s="44"/>
      <c r="W284" s="44" t="s">
        <v>2066</v>
      </c>
      <c r="X284" s="48" t="s">
        <v>2067</v>
      </c>
      <c r="Y284" s="44" t="s">
        <v>2068</v>
      </c>
    </row>
    <row r="285" spans="1:25" x14ac:dyDescent="0.25">
      <c r="A285" s="44" t="s">
        <v>1836</v>
      </c>
      <c r="B285" s="44" t="s">
        <v>226</v>
      </c>
      <c r="C285" s="44" t="s">
        <v>1317</v>
      </c>
      <c r="D285" s="44" t="s">
        <v>144</v>
      </c>
      <c r="E285" s="44" t="s">
        <v>132</v>
      </c>
      <c r="F285" s="44">
        <v>13</v>
      </c>
      <c r="G285" s="44" t="s">
        <v>108</v>
      </c>
      <c r="H285" s="44" t="s">
        <v>122</v>
      </c>
      <c r="I285" s="44" t="s">
        <v>656</v>
      </c>
      <c r="J285" s="44">
        <v>101</v>
      </c>
      <c r="K285" s="44">
        <v>10</v>
      </c>
      <c r="L285" s="45">
        <v>4280</v>
      </c>
      <c r="M285" s="44">
        <v>48900</v>
      </c>
      <c r="N285" s="46">
        <f t="shared" si="8"/>
        <v>2.2699386503067485E-3</v>
      </c>
      <c r="O285" s="47">
        <f t="shared" si="9"/>
        <v>8.7525562372188143E-2</v>
      </c>
      <c r="P285" s="44">
        <v>52</v>
      </c>
      <c r="Q285" s="44">
        <v>5</v>
      </c>
      <c r="R285" s="44">
        <v>0</v>
      </c>
      <c r="S285" s="44" t="s">
        <v>1068</v>
      </c>
      <c r="T285" s="44" t="s">
        <v>1068</v>
      </c>
      <c r="U285" s="44"/>
      <c r="V285" s="44"/>
      <c r="W285" s="44" t="s">
        <v>2069</v>
      </c>
      <c r="X285" s="48" t="s">
        <v>2070</v>
      </c>
      <c r="Y285" s="44" t="s">
        <v>2071</v>
      </c>
    </row>
    <row r="286" spans="1:25" x14ac:dyDescent="0.25">
      <c r="A286" s="44" t="s">
        <v>1836</v>
      </c>
      <c r="B286" s="44" t="s">
        <v>226</v>
      </c>
      <c r="C286" s="44" t="s">
        <v>1650</v>
      </c>
      <c r="D286" s="44" t="s">
        <v>144</v>
      </c>
      <c r="E286" s="44" t="s">
        <v>128</v>
      </c>
      <c r="F286" s="44">
        <v>13</v>
      </c>
      <c r="G286" s="44" t="s">
        <v>108</v>
      </c>
      <c r="H286" s="44" t="s">
        <v>121</v>
      </c>
      <c r="I286" s="44" t="s">
        <v>656</v>
      </c>
      <c r="J286" s="44">
        <v>1195</v>
      </c>
      <c r="K286" s="44">
        <v>13</v>
      </c>
      <c r="L286" s="45"/>
      <c r="M286" s="44">
        <v>48900</v>
      </c>
      <c r="N286" s="46">
        <f t="shared" si="8"/>
        <v>2.4703476482617587E-2</v>
      </c>
      <c r="O286" s="47" t="str">
        <f t="shared" si="9"/>
        <v/>
      </c>
      <c r="P286" s="44">
        <v>66</v>
      </c>
      <c r="Q286" s="44">
        <v>5</v>
      </c>
      <c r="R286" s="44">
        <v>4</v>
      </c>
      <c r="S286" s="44" t="s">
        <v>1067</v>
      </c>
      <c r="T286" s="44" t="s">
        <v>1068</v>
      </c>
      <c r="U286" s="44"/>
      <c r="V286" s="44"/>
      <c r="W286" s="44" t="s">
        <v>2072</v>
      </c>
      <c r="X286" s="48" t="s">
        <v>2073</v>
      </c>
      <c r="Y286" s="44" t="s">
        <v>2074</v>
      </c>
    </row>
    <row r="287" spans="1:25" x14ac:dyDescent="0.25">
      <c r="A287" s="44" t="s">
        <v>1836</v>
      </c>
      <c r="B287" s="44" t="s">
        <v>226</v>
      </c>
      <c r="C287" s="44" t="s">
        <v>2075</v>
      </c>
      <c r="D287" s="44" t="s">
        <v>144</v>
      </c>
      <c r="E287" s="44" t="s">
        <v>126</v>
      </c>
      <c r="F287" s="44">
        <v>13</v>
      </c>
      <c r="G287" s="44" t="s">
        <v>109</v>
      </c>
      <c r="H287" s="44" t="s">
        <v>542</v>
      </c>
      <c r="I287" s="44" t="s">
        <v>656</v>
      </c>
      <c r="J287" s="44">
        <v>28</v>
      </c>
      <c r="K287" s="44">
        <v>0</v>
      </c>
      <c r="L287" s="45"/>
      <c r="M287" s="44">
        <v>48900</v>
      </c>
      <c r="N287" s="46">
        <f t="shared" si="8"/>
        <v>5.7259713701431493E-4</v>
      </c>
      <c r="O287" s="47" t="str">
        <f t="shared" si="9"/>
        <v/>
      </c>
      <c r="P287" s="44">
        <v>124</v>
      </c>
      <c r="Q287" s="44">
        <v>5</v>
      </c>
      <c r="R287" s="44">
        <v>0</v>
      </c>
      <c r="S287" s="44" t="s">
        <v>1067</v>
      </c>
      <c r="T287" s="44" t="s">
        <v>1068</v>
      </c>
      <c r="U287" s="44"/>
      <c r="V287" s="44"/>
      <c r="W287" s="44" t="s">
        <v>2076</v>
      </c>
      <c r="X287" s="48" t="s">
        <v>2077</v>
      </c>
      <c r="Y287" s="44" t="s">
        <v>2078</v>
      </c>
    </row>
    <row r="288" spans="1:25" x14ac:dyDescent="0.25">
      <c r="A288" s="44" t="s">
        <v>1836</v>
      </c>
      <c r="B288" s="44" t="s">
        <v>226</v>
      </c>
      <c r="C288" s="44" t="s">
        <v>1325</v>
      </c>
      <c r="D288" s="44" t="s">
        <v>144</v>
      </c>
      <c r="E288" s="44" t="s">
        <v>134</v>
      </c>
      <c r="F288" s="44">
        <v>11</v>
      </c>
      <c r="G288" s="44" t="s">
        <v>108</v>
      </c>
      <c r="H288" s="44" t="s">
        <v>114</v>
      </c>
      <c r="I288" s="44" t="s">
        <v>650</v>
      </c>
      <c r="J288" s="44">
        <v>431</v>
      </c>
      <c r="K288" s="44">
        <v>3</v>
      </c>
      <c r="L288" s="45"/>
      <c r="M288" s="44">
        <v>48900</v>
      </c>
      <c r="N288" s="46">
        <f t="shared" si="8"/>
        <v>8.8752556237218817E-3</v>
      </c>
      <c r="O288" s="47" t="str">
        <f t="shared" si="9"/>
        <v/>
      </c>
      <c r="P288" s="44">
        <v>12</v>
      </c>
      <c r="Q288" s="44">
        <v>5</v>
      </c>
      <c r="R288" s="44">
        <v>0</v>
      </c>
      <c r="S288" s="44" t="s">
        <v>1068</v>
      </c>
      <c r="T288" s="44" t="s">
        <v>1067</v>
      </c>
      <c r="U288" s="44"/>
      <c r="V288" s="44"/>
      <c r="W288" s="44" t="s">
        <v>2079</v>
      </c>
      <c r="X288" s="48" t="s">
        <v>2080</v>
      </c>
      <c r="Y288" s="44" t="s">
        <v>2081</v>
      </c>
    </row>
    <row r="289" spans="1:25" x14ac:dyDescent="0.25">
      <c r="A289" s="44" t="s">
        <v>1836</v>
      </c>
      <c r="B289" s="44" t="s">
        <v>226</v>
      </c>
      <c r="C289" s="44" t="s">
        <v>1658</v>
      </c>
      <c r="D289" s="44" t="s">
        <v>144</v>
      </c>
      <c r="E289" s="44" t="s">
        <v>132</v>
      </c>
      <c r="F289" s="44">
        <v>13</v>
      </c>
      <c r="G289" s="44" t="s">
        <v>108</v>
      </c>
      <c r="H289" s="44" t="s">
        <v>115</v>
      </c>
      <c r="I289" s="44" t="s">
        <v>656</v>
      </c>
      <c r="J289" s="44">
        <v>69</v>
      </c>
      <c r="K289" s="44">
        <v>0</v>
      </c>
      <c r="L289" s="45"/>
      <c r="M289" s="44">
        <v>48900</v>
      </c>
      <c r="N289" s="46">
        <f t="shared" si="8"/>
        <v>1.411042944785276E-3</v>
      </c>
      <c r="O289" s="47" t="str">
        <f t="shared" si="9"/>
        <v/>
      </c>
      <c r="P289" s="44">
        <v>43</v>
      </c>
      <c r="Q289" s="44">
        <v>5</v>
      </c>
      <c r="R289" s="44">
        <v>0</v>
      </c>
      <c r="S289" s="44" t="s">
        <v>1068</v>
      </c>
      <c r="T289" s="44" t="s">
        <v>1068</v>
      </c>
      <c r="U289" s="44"/>
      <c r="V289" s="44"/>
      <c r="W289" s="44" t="s">
        <v>2082</v>
      </c>
      <c r="X289" s="48" t="s">
        <v>2083</v>
      </c>
      <c r="Y289" s="44" t="s">
        <v>2084</v>
      </c>
    </row>
    <row r="290" spans="1:25" x14ac:dyDescent="0.25">
      <c r="A290" s="44" t="s">
        <v>1836</v>
      </c>
      <c r="B290" s="44" t="s">
        <v>226</v>
      </c>
      <c r="C290" s="44" t="s">
        <v>1334</v>
      </c>
      <c r="D290" s="44" t="s">
        <v>144</v>
      </c>
      <c r="E290" s="44" t="s">
        <v>128</v>
      </c>
      <c r="F290" s="44">
        <v>10</v>
      </c>
      <c r="G290" s="44" t="s">
        <v>108</v>
      </c>
      <c r="H290" s="44" t="s">
        <v>121</v>
      </c>
      <c r="I290" s="44" t="s">
        <v>656</v>
      </c>
      <c r="J290" s="44">
        <v>1594</v>
      </c>
      <c r="K290" s="44">
        <v>17</v>
      </c>
      <c r="L290" s="45"/>
      <c r="M290" s="44">
        <v>48900</v>
      </c>
      <c r="N290" s="46">
        <f t="shared" si="8"/>
        <v>3.294478527607362E-2</v>
      </c>
      <c r="O290" s="47" t="str">
        <f t="shared" si="9"/>
        <v/>
      </c>
      <c r="P290" s="44">
        <v>92</v>
      </c>
      <c r="Q290" s="44">
        <v>6</v>
      </c>
      <c r="R290" s="44">
        <v>0</v>
      </c>
      <c r="S290" s="44" t="s">
        <v>1067</v>
      </c>
      <c r="T290" s="44" t="s">
        <v>1068</v>
      </c>
      <c r="U290" s="44"/>
      <c r="V290" s="44"/>
      <c r="W290" s="44" t="s">
        <v>2085</v>
      </c>
      <c r="X290" s="48" t="s">
        <v>2086</v>
      </c>
      <c r="Y290" s="44" t="s">
        <v>2087</v>
      </c>
    </row>
    <row r="291" spans="1:25" x14ac:dyDescent="0.25">
      <c r="A291" s="44" t="s">
        <v>1836</v>
      </c>
      <c r="B291" s="44" t="s">
        <v>226</v>
      </c>
      <c r="C291" s="44" t="s">
        <v>2088</v>
      </c>
      <c r="D291" s="44" t="s">
        <v>144</v>
      </c>
      <c r="E291" s="44" t="s">
        <v>126</v>
      </c>
      <c r="F291" s="44">
        <v>14</v>
      </c>
      <c r="G291" s="44" t="s">
        <v>109</v>
      </c>
      <c r="H291" s="44" t="s">
        <v>542</v>
      </c>
      <c r="I291" s="44" t="s">
        <v>656</v>
      </c>
      <c r="J291" s="44">
        <v>23</v>
      </c>
      <c r="K291" s="44">
        <v>1</v>
      </c>
      <c r="L291" s="45"/>
      <c r="M291" s="44">
        <v>48900</v>
      </c>
      <c r="N291" s="46">
        <f t="shared" si="8"/>
        <v>4.9079754601226997E-4</v>
      </c>
      <c r="O291" s="47" t="str">
        <f t="shared" si="9"/>
        <v/>
      </c>
      <c r="P291" s="44">
        <v>101</v>
      </c>
      <c r="Q291" s="44">
        <v>5</v>
      </c>
      <c r="R291" s="44">
        <v>0</v>
      </c>
      <c r="S291" s="44" t="s">
        <v>1067</v>
      </c>
      <c r="T291" s="44" t="s">
        <v>1068</v>
      </c>
      <c r="U291" s="44"/>
      <c r="V291" s="44"/>
      <c r="W291" s="44" t="s">
        <v>2089</v>
      </c>
      <c r="X291" s="48" t="s">
        <v>2090</v>
      </c>
      <c r="Y291" s="44" t="s">
        <v>2091</v>
      </c>
    </row>
    <row r="292" spans="1:25" x14ac:dyDescent="0.25">
      <c r="A292" s="44" t="s">
        <v>1836</v>
      </c>
      <c r="B292" s="44" t="s">
        <v>226</v>
      </c>
      <c r="C292" s="44" t="s">
        <v>2092</v>
      </c>
      <c r="D292" s="44" t="s">
        <v>144</v>
      </c>
      <c r="E292" s="44" t="s">
        <v>134</v>
      </c>
      <c r="F292" s="44">
        <v>9</v>
      </c>
      <c r="G292" s="44" t="s">
        <v>108</v>
      </c>
      <c r="H292" s="44" t="s">
        <v>114</v>
      </c>
      <c r="I292" s="44" t="s">
        <v>656</v>
      </c>
      <c r="J292" s="44">
        <v>554</v>
      </c>
      <c r="K292" s="44">
        <v>8</v>
      </c>
      <c r="L292" s="45"/>
      <c r="M292" s="44">
        <v>48900</v>
      </c>
      <c r="N292" s="46">
        <f t="shared" si="8"/>
        <v>1.149284253578732E-2</v>
      </c>
      <c r="O292" s="47" t="str">
        <f t="shared" si="9"/>
        <v/>
      </c>
      <c r="P292" s="44">
        <v>14</v>
      </c>
      <c r="Q292" s="44">
        <v>5</v>
      </c>
      <c r="R292" s="44">
        <v>0</v>
      </c>
      <c r="S292" s="44" t="s">
        <v>1068</v>
      </c>
      <c r="T292" s="44" t="s">
        <v>1068</v>
      </c>
      <c r="U292" s="44"/>
      <c r="V292" s="44"/>
      <c r="W292" s="44" t="s">
        <v>2093</v>
      </c>
      <c r="X292" s="48" t="s">
        <v>2094</v>
      </c>
      <c r="Y292" s="44" t="s">
        <v>2095</v>
      </c>
    </row>
    <row r="293" spans="1:25" x14ac:dyDescent="0.25">
      <c r="A293" s="44" t="s">
        <v>1836</v>
      </c>
      <c r="B293" s="44" t="s">
        <v>226</v>
      </c>
      <c r="C293" s="44" t="s">
        <v>1669</v>
      </c>
      <c r="D293" s="44" t="s">
        <v>144</v>
      </c>
      <c r="E293" s="44" t="s">
        <v>132</v>
      </c>
      <c r="F293" s="44">
        <v>13</v>
      </c>
      <c r="G293" s="44" t="s">
        <v>108</v>
      </c>
      <c r="H293" s="44" t="s">
        <v>121</v>
      </c>
      <c r="I293" s="44" t="s">
        <v>656</v>
      </c>
      <c r="J293" s="44">
        <v>88</v>
      </c>
      <c r="K293" s="44">
        <v>5</v>
      </c>
      <c r="L293" s="45"/>
      <c r="M293" s="44">
        <v>48900</v>
      </c>
      <c r="N293" s="46">
        <f t="shared" si="8"/>
        <v>1.901840490797546E-3</v>
      </c>
      <c r="O293" s="47" t="str">
        <f t="shared" si="9"/>
        <v/>
      </c>
      <c r="P293" s="44">
        <v>61</v>
      </c>
      <c r="Q293" s="44">
        <v>5</v>
      </c>
      <c r="R293" s="44">
        <v>0</v>
      </c>
      <c r="S293" s="44" t="s">
        <v>1068</v>
      </c>
      <c r="T293" s="44" t="s">
        <v>1068</v>
      </c>
      <c r="U293" s="44"/>
      <c r="V293" s="44"/>
      <c r="W293" s="44" t="s">
        <v>2096</v>
      </c>
      <c r="X293" s="48" t="s">
        <v>2097</v>
      </c>
      <c r="Y293" s="44" t="s">
        <v>2098</v>
      </c>
    </row>
    <row r="294" spans="1:25" x14ac:dyDescent="0.25">
      <c r="A294" s="44" t="s">
        <v>1836</v>
      </c>
      <c r="B294" s="44" t="s">
        <v>226</v>
      </c>
      <c r="C294" s="44" t="s">
        <v>1673</v>
      </c>
      <c r="D294" s="44" t="s">
        <v>144</v>
      </c>
      <c r="E294" s="44" t="s">
        <v>130</v>
      </c>
      <c r="F294" s="44">
        <v>13</v>
      </c>
      <c r="G294" s="44" t="s">
        <v>108</v>
      </c>
      <c r="H294" s="44" t="s">
        <v>121</v>
      </c>
      <c r="I294" s="44" t="s">
        <v>650</v>
      </c>
      <c r="J294" s="44">
        <v>218</v>
      </c>
      <c r="K294" s="44">
        <v>2</v>
      </c>
      <c r="L294" s="45"/>
      <c r="M294" s="44">
        <v>48900</v>
      </c>
      <c r="N294" s="46">
        <f t="shared" si="8"/>
        <v>4.4989775051124748E-3</v>
      </c>
      <c r="O294" s="47" t="str">
        <f t="shared" si="9"/>
        <v/>
      </c>
      <c r="P294" s="44">
        <v>76</v>
      </c>
      <c r="Q294" s="44">
        <v>5</v>
      </c>
      <c r="R294" s="44">
        <v>0</v>
      </c>
      <c r="S294" s="44" t="s">
        <v>1067</v>
      </c>
      <c r="T294" s="44" t="s">
        <v>1067</v>
      </c>
      <c r="U294" s="44"/>
      <c r="V294" s="44"/>
      <c r="W294" s="44" t="s">
        <v>2099</v>
      </c>
      <c r="X294" s="48" t="s">
        <v>2100</v>
      </c>
      <c r="Y294" s="44" t="s">
        <v>2101</v>
      </c>
    </row>
    <row r="295" spans="1:25" x14ac:dyDescent="0.25">
      <c r="A295" s="44" t="s">
        <v>1836</v>
      </c>
      <c r="B295" s="44" t="s">
        <v>226</v>
      </c>
      <c r="C295" s="44" t="s">
        <v>2102</v>
      </c>
      <c r="D295" s="44" t="s">
        <v>144</v>
      </c>
      <c r="E295" s="44" t="s">
        <v>128</v>
      </c>
      <c r="F295" s="44">
        <v>13</v>
      </c>
      <c r="G295" s="44" t="s">
        <v>108</v>
      </c>
      <c r="H295" s="44" t="s">
        <v>121</v>
      </c>
      <c r="I295" s="44" t="s">
        <v>650</v>
      </c>
      <c r="J295" s="44">
        <v>1030</v>
      </c>
      <c r="K295" s="44">
        <v>3</v>
      </c>
      <c r="L295" s="45"/>
      <c r="M295" s="44">
        <v>48900</v>
      </c>
      <c r="N295" s="46">
        <f t="shared" si="8"/>
        <v>2.1124744376278117E-2</v>
      </c>
      <c r="O295" s="47" t="str">
        <f t="shared" si="9"/>
        <v/>
      </c>
      <c r="P295" s="44">
        <v>73</v>
      </c>
      <c r="Q295" s="44">
        <v>5</v>
      </c>
      <c r="R295" s="44">
        <v>0</v>
      </c>
      <c r="S295" s="44" t="s">
        <v>1068</v>
      </c>
      <c r="T295" s="44" t="s">
        <v>1067</v>
      </c>
      <c r="U295" s="44"/>
      <c r="V295" s="44"/>
      <c r="W295" s="44" t="s">
        <v>2103</v>
      </c>
      <c r="X295" s="48" t="s">
        <v>2104</v>
      </c>
      <c r="Y295" s="44" t="s">
        <v>2105</v>
      </c>
    </row>
    <row r="296" spans="1:25" x14ac:dyDescent="0.25">
      <c r="A296" s="44" t="s">
        <v>1836</v>
      </c>
      <c r="B296" s="44" t="s">
        <v>226</v>
      </c>
      <c r="C296" s="44" t="s">
        <v>2106</v>
      </c>
      <c r="D296" s="44" t="s">
        <v>144</v>
      </c>
      <c r="E296" s="44" t="s">
        <v>134</v>
      </c>
      <c r="F296" s="44">
        <v>15</v>
      </c>
      <c r="G296" s="44" t="s">
        <v>108</v>
      </c>
      <c r="H296" s="44" t="s">
        <v>122</v>
      </c>
      <c r="I296" s="44" t="s">
        <v>650</v>
      </c>
      <c r="J296" s="44">
        <v>394</v>
      </c>
      <c r="K296" s="44">
        <v>2</v>
      </c>
      <c r="L296" s="45"/>
      <c r="M296" s="44">
        <v>48900</v>
      </c>
      <c r="N296" s="46">
        <f t="shared" si="8"/>
        <v>8.0981595092024534E-3</v>
      </c>
      <c r="O296" s="47" t="str">
        <f t="shared" si="9"/>
        <v/>
      </c>
      <c r="P296" s="44">
        <v>27</v>
      </c>
      <c r="Q296" s="44">
        <v>5</v>
      </c>
      <c r="R296" s="44">
        <v>1</v>
      </c>
      <c r="S296" s="44" t="s">
        <v>1068</v>
      </c>
      <c r="T296" s="44" t="s">
        <v>1067</v>
      </c>
      <c r="U296" s="44"/>
      <c r="V296" s="44"/>
      <c r="W296" s="44" t="s">
        <v>2107</v>
      </c>
      <c r="X296" s="48" t="s">
        <v>2108</v>
      </c>
      <c r="Y296" s="44" t="s">
        <v>2109</v>
      </c>
    </row>
    <row r="297" spans="1:25" x14ac:dyDescent="0.25">
      <c r="A297" s="44" t="s">
        <v>1836</v>
      </c>
      <c r="B297" s="44" t="s">
        <v>226</v>
      </c>
      <c r="C297" s="44" t="s">
        <v>1681</v>
      </c>
      <c r="D297" s="44" t="s">
        <v>143</v>
      </c>
      <c r="E297" s="44" t="s">
        <v>132</v>
      </c>
      <c r="F297" s="44">
        <v>13</v>
      </c>
      <c r="G297" s="44" t="s">
        <v>108</v>
      </c>
      <c r="H297" s="44" t="s">
        <v>121</v>
      </c>
      <c r="I297" s="44" t="s">
        <v>650</v>
      </c>
      <c r="J297" s="44">
        <v>460</v>
      </c>
      <c r="K297" s="44">
        <v>3</v>
      </c>
      <c r="L297" s="45"/>
      <c r="M297" s="44">
        <v>48900</v>
      </c>
      <c r="N297" s="46">
        <f t="shared" si="8"/>
        <v>9.4683026584867075E-3</v>
      </c>
      <c r="O297" s="47" t="str">
        <f t="shared" si="9"/>
        <v/>
      </c>
      <c r="P297" s="44">
        <v>78</v>
      </c>
      <c r="Q297" s="44">
        <v>6</v>
      </c>
      <c r="R297" s="44">
        <v>0</v>
      </c>
      <c r="S297" s="44" t="s">
        <v>1067</v>
      </c>
      <c r="T297" s="44" t="s">
        <v>1067</v>
      </c>
      <c r="U297" s="44"/>
      <c r="V297" s="44"/>
      <c r="W297" s="44" t="s">
        <v>2110</v>
      </c>
      <c r="X297" s="48" t="s">
        <v>2111</v>
      </c>
      <c r="Y297" s="44" t="s">
        <v>2112</v>
      </c>
    </row>
    <row r="298" spans="1:25" x14ac:dyDescent="0.25">
      <c r="A298" s="44" t="s">
        <v>1836</v>
      </c>
      <c r="B298" s="44" t="s">
        <v>226</v>
      </c>
      <c r="C298" s="44" t="s">
        <v>2113</v>
      </c>
      <c r="D298" s="44" t="s">
        <v>143</v>
      </c>
      <c r="E298" s="44" t="s">
        <v>128</v>
      </c>
      <c r="F298" s="44">
        <v>10</v>
      </c>
      <c r="G298" s="44" t="s">
        <v>108</v>
      </c>
      <c r="H298" s="44" t="s">
        <v>121</v>
      </c>
      <c r="I298" s="44" t="s">
        <v>650</v>
      </c>
      <c r="J298" s="44">
        <v>673</v>
      </c>
      <c r="K298" s="44">
        <v>15</v>
      </c>
      <c r="L298" s="45"/>
      <c r="M298" s="44">
        <v>48900</v>
      </c>
      <c r="N298" s="46">
        <f t="shared" si="8"/>
        <v>1.4069529652351738E-2</v>
      </c>
      <c r="O298" s="47" t="str">
        <f t="shared" si="9"/>
        <v/>
      </c>
      <c r="P298" s="44">
        <v>55</v>
      </c>
      <c r="Q298" s="44">
        <v>6</v>
      </c>
      <c r="R298" s="44">
        <v>0</v>
      </c>
      <c r="S298" s="44" t="s">
        <v>1068</v>
      </c>
      <c r="T298" s="44" t="s">
        <v>1067</v>
      </c>
      <c r="U298" s="44"/>
      <c r="V298" s="44"/>
      <c r="W298" s="44" t="s">
        <v>2114</v>
      </c>
      <c r="X298" s="48" t="s">
        <v>2115</v>
      </c>
      <c r="Y298" s="44" t="s">
        <v>2116</v>
      </c>
    </row>
    <row r="299" spans="1:25" x14ac:dyDescent="0.25">
      <c r="A299" s="44" t="s">
        <v>1836</v>
      </c>
      <c r="B299" s="44" t="s">
        <v>226</v>
      </c>
      <c r="C299" s="44" t="s">
        <v>1695</v>
      </c>
      <c r="D299" s="44" t="s">
        <v>143</v>
      </c>
      <c r="E299" s="44" t="s">
        <v>128</v>
      </c>
      <c r="F299" s="44">
        <v>13</v>
      </c>
      <c r="G299" s="44" t="s">
        <v>108</v>
      </c>
      <c r="H299" s="44" t="s">
        <v>121</v>
      </c>
      <c r="I299" s="44" t="s">
        <v>656</v>
      </c>
      <c r="J299" s="44">
        <v>488</v>
      </c>
      <c r="K299" s="44">
        <v>4</v>
      </c>
      <c r="L299" s="45"/>
      <c r="M299" s="44">
        <v>48900</v>
      </c>
      <c r="N299" s="46">
        <f t="shared" si="8"/>
        <v>1.0061349693251533E-2</v>
      </c>
      <c r="O299" s="47" t="str">
        <f t="shared" si="9"/>
        <v/>
      </c>
      <c r="P299" s="44">
        <v>81</v>
      </c>
      <c r="Q299" s="44">
        <v>6</v>
      </c>
      <c r="R299" s="44">
        <v>0</v>
      </c>
      <c r="S299" s="44" t="s">
        <v>1067</v>
      </c>
      <c r="T299" s="44" t="s">
        <v>1068</v>
      </c>
      <c r="U299" s="44"/>
      <c r="V299" s="44"/>
      <c r="W299" s="44" t="s">
        <v>2117</v>
      </c>
      <c r="X299" s="48" t="s">
        <v>2118</v>
      </c>
      <c r="Y299" s="44" t="s">
        <v>2119</v>
      </c>
    </row>
    <row r="300" spans="1:25" x14ac:dyDescent="0.25">
      <c r="A300" s="44" t="s">
        <v>1836</v>
      </c>
      <c r="B300" s="44" t="s">
        <v>226</v>
      </c>
      <c r="C300" s="44" t="s">
        <v>1346</v>
      </c>
      <c r="D300" s="44" t="s">
        <v>143</v>
      </c>
      <c r="E300" s="44" t="s">
        <v>126</v>
      </c>
      <c r="F300" s="44">
        <v>14</v>
      </c>
      <c r="G300" s="44" t="s">
        <v>109</v>
      </c>
      <c r="H300" s="44" t="s">
        <v>543</v>
      </c>
      <c r="I300" s="44" t="s">
        <v>656</v>
      </c>
      <c r="J300" s="44">
        <v>11557</v>
      </c>
      <c r="K300" s="44">
        <v>19</v>
      </c>
      <c r="L300" s="45"/>
      <c r="M300" s="44">
        <v>48900</v>
      </c>
      <c r="N300" s="46">
        <f t="shared" si="8"/>
        <v>0.23672801635991819</v>
      </c>
      <c r="O300" s="47" t="str">
        <f t="shared" si="9"/>
        <v/>
      </c>
      <c r="P300" s="44">
        <v>26</v>
      </c>
      <c r="Q300" s="44">
        <v>0</v>
      </c>
      <c r="R300" s="44">
        <v>0</v>
      </c>
      <c r="S300" s="44" t="s">
        <v>1068</v>
      </c>
      <c r="T300" s="44" t="s">
        <v>1068</v>
      </c>
      <c r="U300" s="44"/>
      <c r="V300" s="44" t="s">
        <v>2120</v>
      </c>
      <c r="W300" s="44" t="s">
        <v>302</v>
      </c>
      <c r="X300" s="48" t="s">
        <v>2121</v>
      </c>
      <c r="Y300" s="44" t="s">
        <v>2122</v>
      </c>
    </row>
    <row r="301" spans="1:25" x14ac:dyDescent="0.25">
      <c r="A301" s="44" t="s">
        <v>1836</v>
      </c>
      <c r="B301" s="44" t="s">
        <v>226</v>
      </c>
      <c r="C301" s="44" t="s">
        <v>1350</v>
      </c>
      <c r="D301" s="44" t="s">
        <v>143</v>
      </c>
      <c r="E301" s="44" t="s">
        <v>134</v>
      </c>
      <c r="F301" s="44">
        <v>13</v>
      </c>
      <c r="G301" s="44" t="s">
        <v>108</v>
      </c>
      <c r="H301" s="44" t="s">
        <v>121</v>
      </c>
      <c r="I301" s="44" t="s">
        <v>656</v>
      </c>
      <c r="J301" s="44">
        <v>437</v>
      </c>
      <c r="K301" s="44">
        <v>7</v>
      </c>
      <c r="L301" s="45"/>
      <c r="M301" s="44">
        <v>48900</v>
      </c>
      <c r="N301" s="46">
        <f t="shared" si="8"/>
        <v>9.0797546012269942E-3</v>
      </c>
      <c r="O301" s="47" t="str">
        <f t="shared" si="9"/>
        <v/>
      </c>
      <c r="P301" s="44">
        <v>65</v>
      </c>
      <c r="Q301" s="44">
        <v>7</v>
      </c>
      <c r="R301" s="44">
        <v>0</v>
      </c>
      <c r="S301" s="44" t="s">
        <v>1067</v>
      </c>
      <c r="T301" s="44" t="s">
        <v>1068</v>
      </c>
      <c r="U301" s="44"/>
      <c r="V301" s="44"/>
      <c r="W301" s="44" t="s">
        <v>2123</v>
      </c>
      <c r="X301" s="48" t="s">
        <v>2124</v>
      </c>
      <c r="Y301" s="44" t="s">
        <v>2125</v>
      </c>
    </row>
    <row r="302" spans="1:25" x14ac:dyDescent="0.25">
      <c r="A302" s="44" t="s">
        <v>1836</v>
      </c>
      <c r="B302" s="44" t="s">
        <v>226</v>
      </c>
      <c r="C302" s="44" t="s">
        <v>2126</v>
      </c>
      <c r="D302" s="44" t="s">
        <v>143</v>
      </c>
      <c r="E302" s="44" t="s">
        <v>132</v>
      </c>
      <c r="F302" s="44">
        <v>13</v>
      </c>
      <c r="G302" s="44" t="s">
        <v>109</v>
      </c>
      <c r="H302" s="44" t="s">
        <v>542</v>
      </c>
      <c r="I302" s="44" t="s">
        <v>638</v>
      </c>
      <c r="J302" s="44">
        <v>35</v>
      </c>
      <c r="K302" s="44">
        <v>0</v>
      </c>
      <c r="L302" s="45"/>
      <c r="M302" s="44">
        <v>48900</v>
      </c>
      <c r="N302" s="46">
        <f t="shared" si="8"/>
        <v>7.1574642126789368E-4</v>
      </c>
      <c r="O302" s="47" t="str">
        <f t="shared" si="9"/>
        <v/>
      </c>
      <c r="P302" s="44">
        <v>107</v>
      </c>
      <c r="Q302" s="44">
        <v>0</v>
      </c>
      <c r="R302" s="44">
        <v>0</v>
      </c>
      <c r="S302" s="44" t="s">
        <v>1067</v>
      </c>
      <c r="T302" s="44" t="s">
        <v>1068</v>
      </c>
      <c r="U302" s="44"/>
      <c r="V302" s="44"/>
      <c r="W302" s="44" t="s">
        <v>2127</v>
      </c>
      <c r="X302" s="48" t="s">
        <v>2128</v>
      </c>
      <c r="Y302" s="44" t="s">
        <v>2129</v>
      </c>
    </row>
    <row r="303" spans="1:25" x14ac:dyDescent="0.25">
      <c r="A303" s="44" t="s">
        <v>1836</v>
      </c>
      <c r="B303" s="44" t="s">
        <v>226</v>
      </c>
      <c r="C303" s="44" t="s">
        <v>2126</v>
      </c>
      <c r="D303" s="44" t="s">
        <v>143</v>
      </c>
      <c r="E303" s="44" t="s">
        <v>132</v>
      </c>
      <c r="F303" s="44">
        <v>9</v>
      </c>
      <c r="G303" s="44" t="s">
        <v>108</v>
      </c>
      <c r="H303" s="44" t="s">
        <v>121</v>
      </c>
      <c r="I303" s="44" t="s">
        <v>656</v>
      </c>
      <c r="J303" s="44">
        <v>123</v>
      </c>
      <c r="K303" s="44">
        <v>4</v>
      </c>
      <c r="L303" s="45"/>
      <c r="M303" s="44">
        <v>48900</v>
      </c>
      <c r="N303" s="46">
        <f t="shared" si="8"/>
        <v>2.5971370143149284E-3</v>
      </c>
      <c r="O303" s="47" t="str">
        <f t="shared" si="9"/>
        <v/>
      </c>
      <c r="P303" s="44">
        <v>73</v>
      </c>
      <c r="Q303" s="44">
        <v>5</v>
      </c>
      <c r="R303" s="44">
        <v>3</v>
      </c>
      <c r="S303" s="44" t="s">
        <v>1067</v>
      </c>
      <c r="T303" s="44" t="s">
        <v>1068</v>
      </c>
      <c r="U303" s="44"/>
      <c r="V303" s="44"/>
      <c r="W303" s="44" t="s">
        <v>2130</v>
      </c>
      <c r="X303" s="48" t="s">
        <v>2131</v>
      </c>
      <c r="Y303" s="44" t="s">
        <v>2132</v>
      </c>
    </row>
    <row r="304" spans="1:25" x14ac:dyDescent="0.25">
      <c r="A304" s="44" t="s">
        <v>1836</v>
      </c>
      <c r="B304" s="44" t="s">
        <v>226</v>
      </c>
      <c r="C304" s="44" t="s">
        <v>1358</v>
      </c>
      <c r="D304" s="44" t="s">
        <v>143</v>
      </c>
      <c r="E304" s="44" t="s">
        <v>126</v>
      </c>
      <c r="F304" s="44">
        <v>12</v>
      </c>
      <c r="G304" s="44" t="s">
        <v>108</v>
      </c>
      <c r="H304" s="44" t="s">
        <v>117</v>
      </c>
      <c r="I304" s="44" t="s">
        <v>656</v>
      </c>
      <c r="J304" s="44">
        <v>237</v>
      </c>
      <c r="K304" s="44">
        <v>22</v>
      </c>
      <c r="L304" s="45"/>
      <c r="M304" s="44">
        <v>48900</v>
      </c>
      <c r="N304" s="46">
        <f t="shared" si="8"/>
        <v>5.296523517382413E-3</v>
      </c>
      <c r="O304" s="47" t="str">
        <f t="shared" si="9"/>
        <v/>
      </c>
      <c r="P304" s="44">
        <v>47</v>
      </c>
      <c r="Q304" s="44">
        <v>4</v>
      </c>
      <c r="R304" s="44">
        <v>0</v>
      </c>
      <c r="S304" s="44" t="s">
        <v>1068</v>
      </c>
      <c r="T304" s="44" t="s">
        <v>1068</v>
      </c>
      <c r="U304" s="44"/>
      <c r="V304" s="44" t="s">
        <v>1836</v>
      </c>
      <c r="W304" s="44" t="s">
        <v>2133</v>
      </c>
      <c r="X304" s="48" t="s">
        <v>2134</v>
      </c>
      <c r="Y304" s="44" t="s">
        <v>2135</v>
      </c>
    </row>
    <row r="305" spans="1:25" x14ac:dyDescent="0.25">
      <c r="A305" s="44" t="s">
        <v>1836</v>
      </c>
      <c r="B305" s="44" t="s">
        <v>226</v>
      </c>
      <c r="C305" s="44" t="s">
        <v>1362</v>
      </c>
      <c r="D305" s="44" t="s">
        <v>143</v>
      </c>
      <c r="E305" s="44" t="s">
        <v>134</v>
      </c>
      <c r="F305" s="44">
        <v>15</v>
      </c>
      <c r="G305" s="44" t="s">
        <v>108</v>
      </c>
      <c r="H305" s="44" t="s">
        <v>122</v>
      </c>
      <c r="I305" s="44" t="s">
        <v>656</v>
      </c>
      <c r="J305" s="44">
        <v>209</v>
      </c>
      <c r="K305" s="44">
        <v>5</v>
      </c>
      <c r="L305" s="45"/>
      <c r="M305" s="44">
        <v>48900</v>
      </c>
      <c r="N305" s="46">
        <f t="shared" si="8"/>
        <v>4.376278118609407E-3</v>
      </c>
      <c r="O305" s="47" t="str">
        <f t="shared" si="9"/>
        <v/>
      </c>
      <c r="P305" s="44">
        <v>51</v>
      </c>
      <c r="Q305" s="44">
        <v>5</v>
      </c>
      <c r="R305" s="44">
        <v>3</v>
      </c>
      <c r="S305" s="44" t="s">
        <v>1068</v>
      </c>
      <c r="T305" s="44" t="s">
        <v>1068</v>
      </c>
      <c r="U305" s="44"/>
      <c r="V305" s="44"/>
      <c r="W305" s="44" t="s">
        <v>2136</v>
      </c>
      <c r="X305" s="48" t="s">
        <v>2137</v>
      </c>
      <c r="Y305" s="44" t="s">
        <v>2138</v>
      </c>
    </row>
    <row r="306" spans="1:25" x14ac:dyDescent="0.25">
      <c r="A306" s="44" t="s">
        <v>1836</v>
      </c>
      <c r="B306" s="44" t="s">
        <v>226</v>
      </c>
      <c r="C306" s="44" t="s">
        <v>2139</v>
      </c>
      <c r="D306" s="44" t="s">
        <v>143</v>
      </c>
      <c r="E306" s="44" t="s">
        <v>132</v>
      </c>
      <c r="F306" s="44">
        <v>15</v>
      </c>
      <c r="G306" s="44" t="s">
        <v>108</v>
      </c>
      <c r="H306" s="44" t="s">
        <v>121</v>
      </c>
      <c r="I306" s="44" t="s">
        <v>656</v>
      </c>
      <c r="J306" s="44">
        <v>511</v>
      </c>
      <c r="K306" s="44">
        <v>5</v>
      </c>
      <c r="L306" s="45"/>
      <c r="M306" s="44">
        <v>48900</v>
      </c>
      <c r="N306" s="46">
        <f t="shared" si="8"/>
        <v>1.0552147239263805E-2</v>
      </c>
      <c r="O306" s="47" t="str">
        <f t="shared" si="9"/>
        <v/>
      </c>
      <c r="P306" s="44">
        <v>64</v>
      </c>
      <c r="Q306" s="44">
        <v>5</v>
      </c>
      <c r="R306" s="44">
        <v>0</v>
      </c>
      <c r="S306" s="44" t="s">
        <v>1067</v>
      </c>
      <c r="T306" s="44" t="s">
        <v>1068</v>
      </c>
      <c r="U306" s="44"/>
      <c r="V306" s="44"/>
      <c r="W306" s="44" t="s">
        <v>2140</v>
      </c>
      <c r="X306" s="48" t="s">
        <v>2141</v>
      </c>
      <c r="Y306" s="44" t="s">
        <v>2142</v>
      </c>
    </row>
    <row r="307" spans="1:25" x14ac:dyDescent="0.25">
      <c r="A307" s="44" t="s">
        <v>1836</v>
      </c>
      <c r="B307" s="44" t="s">
        <v>226</v>
      </c>
      <c r="C307" s="44" t="s">
        <v>1366</v>
      </c>
      <c r="D307" s="44" t="s">
        <v>143</v>
      </c>
      <c r="E307" s="44" t="s">
        <v>130</v>
      </c>
      <c r="F307" s="44">
        <v>16</v>
      </c>
      <c r="G307" s="44" t="s">
        <v>109</v>
      </c>
      <c r="H307" s="44" t="s">
        <v>543</v>
      </c>
      <c r="I307" s="44" t="s">
        <v>656</v>
      </c>
      <c r="J307" s="44">
        <v>25727</v>
      </c>
      <c r="K307" s="44">
        <v>61</v>
      </c>
      <c r="L307" s="45"/>
      <c r="M307" s="44">
        <v>48900</v>
      </c>
      <c r="N307" s="46">
        <f t="shared" si="8"/>
        <v>0.52736196319018402</v>
      </c>
      <c r="O307" s="47" t="str">
        <f t="shared" si="9"/>
        <v/>
      </c>
      <c r="P307" s="44">
        <v>24</v>
      </c>
      <c r="Q307" s="44">
        <v>0</v>
      </c>
      <c r="R307" s="44">
        <v>0</v>
      </c>
      <c r="S307" s="44" t="s">
        <v>1067</v>
      </c>
      <c r="T307" s="44" t="s">
        <v>1068</v>
      </c>
      <c r="U307" s="44"/>
      <c r="V307" s="44" t="s">
        <v>2143</v>
      </c>
      <c r="W307" s="44" t="s">
        <v>301</v>
      </c>
      <c r="X307" s="48" t="s">
        <v>2144</v>
      </c>
      <c r="Y307" s="44" t="s">
        <v>2145</v>
      </c>
    </row>
    <row r="308" spans="1:25" x14ac:dyDescent="0.25">
      <c r="A308" s="44" t="s">
        <v>1836</v>
      </c>
      <c r="B308" s="44" t="s">
        <v>226</v>
      </c>
      <c r="C308" s="44" t="s">
        <v>2146</v>
      </c>
      <c r="D308" s="44" t="s">
        <v>143</v>
      </c>
      <c r="E308" s="44" t="s">
        <v>128</v>
      </c>
      <c r="F308" s="44">
        <v>14</v>
      </c>
      <c r="G308" s="44" t="s">
        <v>108</v>
      </c>
      <c r="H308" s="44" t="s">
        <v>121</v>
      </c>
      <c r="I308" s="44" t="s">
        <v>650</v>
      </c>
      <c r="J308" s="44">
        <v>2042</v>
      </c>
      <c r="K308" s="44">
        <v>7</v>
      </c>
      <c r="L308" s="45"/>
      <c r="M308" s="44">
        <v>48900</v>
      </c>
      <c r="N308" s="46">
        <f t="shared" si="8"/>
        <v>4.1901840490797544E-2</v>
      </c>
      <c r="O308" s="47" t="str">
        <f t="shared" si="9"/>
        <v/>
      </c>
      <c r="P308" s="44">
        <v>71</v>
      </c>
      <c r="Q308" s="44">
        <v>6</v>
      </c>
      <c r="R308" s="44">
        <v>0</v>
      </c>
      <c r="S308" s="44" t="s">
        <v>1068</v>
      </c>
      <c r="T308" s="44" t="s">
        <v>1067</v>
      </c>
      <c r="U308" s="44"/>
      <c r="V308" s="44"/>
      <c r="W308" s="44" t="s">
        <v>2147</v>
      </c>
      <c r="X308" s="48" t="s">
        <v>2148</v>
      </c>
      <c r="Y308" s="44" t="s">
        <v>2149</v>
      </c>
    </row>
    <row r="309" spans="1:25" x14ac:dyDescent="0.25">
      <c r="A309" s="44" t="s">
        <v>1836</v>
      </c>
      <c r="B309" s="44" t="s">
        <v>226</v>
      </c>
      <c r="C309" s="44" t="s">
        <v>1374</v>
      </c>
      <c r="D309" s="44" t="s">
        <v>143</v>
      </c>
      <c r="E309" s="44" t="s">
        <v>132</v>
      </c>
      <c r="F309" s="44">
        <v>10</v>
      </c>
      <c r="G309" s="44" t="s">
        <v>108</v>
      </c>
      <c r="H309" s="44" t="s">
        <v>121</v>
      </c>
      <c r="I309" s="44" t="s">
        <v>656</v>
      </c>
      <c r="J309" s="44">
        <v>171</v>
      </c>
      <c r="K309" s="44">
        <v>1</v>
      </c>
      <c r="L309" s="45"/>
      <c r="M309" s="44">
        <v>48900</v>
      </c>
      <c r="N309" s="46">
        <f t="shared" si="8"/>
        <v>3.5173824130879344E-3</v>
      </c>
      <c r="O309" s="47" t="str">
        <f t="shared" si="9"/>
        <v/>
      </c>
      <c r="P309" s="44">
        <v>75</v>
      </c>
      <c r="Q309" s="44">
        <v>4</v>
      </c>
      <c r="R309" s="44">
        <v>0</v>
      </c>
      <c r="S309" s="44" t="s">
        <v>1068</v>
      </c>
      <c r="T309" s="44" t="s">
        <v>1068</v>
      </c>
      <c r="U309" s="44"/>
      <c r="V309" s="44" t="s">
        <v>1836</v>
      </c>
      <c r="W309" s="44" t="s">
        <v>2150</v>
      </c>
      <c r="X309" s="48" t="s">
        <v>2151</v>
      </c>
      <c r="Y309" s="44" t="s">
        <v>2152</v>
      </c>
    </row>
    <row r="310" spans="1:25" x14ac:dyDescent="0.25">
      <c r="A310" s="44" t="s">
        <v>1836</v>
      </c>
      <c r="B310" s="44" t="s">
        <v>226</v>
      </c>
      <c r="C310" s="44" t="s">
        <v>2153</v>
      </c>
      <c r="D310" s="44" t="s">
        <v>142</v>
      </c>
      <c r="E310" s="44" t="s">
        <v>128</v>
      </c>
      <c r="F310" s="44">
        <v>13</v>
      </c>
      <c r="G310" s="44" t="s">
        <v>108</v>
      </c>
      <c r="H310" s="44" t="s">
        <v>116</v>
      </c>
      <c r="I310" s="44" t="s">
        <v>650</v>
      </c>
      <c r="J310" s="44">
        <v>65</v>
      </c>
      <c r="K310" s="44">
        <v>2</v>
      </c>
      <c r="L310" s="45"/>
      <c r="M310" s="44">
        <v>48900</v>
      </c>
      <c r="N310" s="46">
        <f t="shared" si="8"/>
        <v>1.3701431492842537E-3</v>
      </c>
      <c r="O310" s="47" t="str">
        <f t="shared" si="9"/>
        <v/>
      </c>
      <c r="P310" s="44">
        <v>91</v>
      </c>
      <c r="Q310" s="44">
        <v>4</v>
      </c>
      <c r="R310" s="44">
        <v>0</v>
      </c>
      <c r="S310" s="44" t="s">
        <v>1067</v>
      </c>
      <c r="T310" s="44" t="s">
        <v>1067</v>
      </c>
      <c r="U310" s="44"/>
      <c r="V310" s="44"/>
      <c r="W310" s="44" t="s">
        <v>2154</v>
      </c>
      <c r="X310" s="48" t="s">
        <v>2155</v>
      </c>
      <c r="Y310" s="44" t="s">
        <v>2156</v>
      </c>
    </row>
    <row r="311" spans="1:25" x14ac:dyDescent="0.25">
      <c r="A311" s="44" t="s">
        <v>1836</v>
      </c>
      <c r="B311" s="44" t="s">
        <v>226</v>
      </c>
      <c r="C311" s="44" t="s">
        <v>1391</v>
      </c>
      <c r="D311" s="44" t="s">
        <v>142</v>
      </c>
      <c r="E311" s="44" t="s">
        <v>132</v>
      </c>
      <c r="F311" s="44">
        <v>13</v>
      </c>
      <c r="G311" s="44" t="s">
        <v>108</v>
      </c>
      <c r="H311" s="44" t="s">
        <v>121</v>
      </c>
      <c r="I311" s="44" t="s">
        <v>650</v>
      </c>
      <c r="J311" s="44">
        <v>741</v>
      </c>
      <c r="K311" s="44">
        <v>2</v>
      </c>
      <c r="L311" s="45"/>
      <c r="M311" s="44">
        <v>48900</v>
      </c>
      <c r="N311" s="46">
        <f t="shared" si="8"/>
        <v>1.5194274028629856E-2</v>
      </c>
      <c r="O311" s="47" t="str">
        <f t="shared" si="9"/>
        <v/>
      </c>
      <c r="P311" s="44">
        <v>62</v>
      </c>
      <c r="Q311" s="44">
        <v>5</v>
      </c>
      <c r="R311" s="44">
        <v>0</v>
      </c>
      <c r="S311" s="44" t="s">
        <v>1068</v>
      </c>
      <c r="T311" s="44" t="s">
        <v>1067</v>
      </c>
      <c r="U311" s="44"/>
      <c r="V311" s="44"/>
      <c r="W311" s="44" t="s">
        <v>2157</v>
      </c>
      <c r="X311" s="48" t="s">
        <v>2158</v>
      </c>
      <c r="Y311" s="44" t="s">
        <v>2159</v>
      </c>
    </row>
    <row r="312" spans="1:25" x14ac:dyDescent="0.25">
      <c r="A312" s="44" t="s">
        <v>1836</v>
      </c>
      <c r="B312" s="44" t="s">
        <v>226</v>
      </c>
      <c r="C312" s="44" t="s">
        <v>1395</v>
      </c>
      <c r="D312" s="44" t="s">
        <v>142</v>
      </c>
      <c r="E312" s="44" t="s">
        <v>130</v>
      </c>
      <c r="F312" s="44">
        <v>13</v>
      </c>
      <c r="G312" s="44" t="s">
        <v>108</v>
      </c>
      <c r="H312" s="44" t="s">
        <v>116</v>
      </c>
      <c r="I312" s="44" t="s">
        <v>656</v>
      </c>
      <c r="J312" s="44">
        <v>207</v>
      </c>
      <c r="K312" s="44">
        <v>5</v>
      </c>
      <c r="L312" s="45"/>
      <c r="M312" s="44">
        <v>48900</v>
      </c>
      <c r="N312" s="46">
        <f t="shared" si="8"/>
        <v>4.3353783231083846E-3</v>
      </c>
      <c r="O312" s="47" t="str">
        <f t="shared" si="9"/>
        <v/>
      </c>
      <c r="P312" s="44">
        <v>65</v>
      </c>
      <c r="Q312" s="44">
        <v>5</v>
      </c>
      <c r="R312" s="44">
        <v>0</v>
      </c>
      <c r="S312" s="44" t="s">
        <v>1068</v>
      </c>
      <c r="T312" s="44" t="s">
        <v>1068</v>
      </c>
      <c r="U312" s="44"/>
      <c r="V312" s="44"/>
      <c r="W312" s="44" t="s">
        <v>2160</v>
      </c>
      <c r="X312" s="48" t="s">
        <v>2161</v>
      </c>
      <c r="Y312" s="44" t="s">
        <v>2162</v>
      </c>
    </row>
    <row r="313" spans="1:25" x14ac:dyDescent="0.25">
      <c r="A313" s="44" t="s">
        <v>1836</v>
      </c>
      <c r="B313" s="44" t="s">
        <v>226</v>
      </c>
      <c r="C313" s="44" t="s">
        <v>2163</v>
      </c>
      <c r="D313" s="44" t="s">
        <v>142</v>
      </c>
      <c r="E313" s="44" t="s">
        <v>128</v>
      </c>
      <c r="F313" s="44">
        <v>14</v>
      </c>
      <c r="G313" s="44" t="s">
        <v>108</v>
      </c>
      <c r="H313" s="44" t="s">
        <v>121</v>
      </c>
      <c r="I313" s="44" t="s">
        <v>656</v>
      </c>
      <c r="J313" s="44">
        <v>1739</v>
      </c>
      <c r="K313" s="44">
        <v>11</v>
      </c>
      <c r="L313" s="45"/>
      <c r="M313" s="44">
        <v>48900</v>
      </c>
      <c r="N313" s="46">
        <f t="shared" si="8"/>
        <v>3.5787321063394682E-2</v>
      </c>
      <c r="O313" s="47" t="str">
        <f t="shared" si="9"/>
        <v/>
      </c>
      <c r="P313" s="44">
        <v>78</v>
      </c>
      <c r="Q313" s="44">
        <v>5</v>
      </c>
      <c r="R313" s="44">
        <v>0</v>
      </c>
      <c r="S313" s="44" t="s">
        <v>1067</v>
      </c>
      <c r="T313" s="44" t="s">
        <v>1068</v>
      </c>
      <c r="U313" s="44"/>
      <c r="V313" s="44"/>
      <c r="W313" s="44" t="s">
        <v>2164</v>
      </c>
      <c r="X313" s="48" t="s">
        <v>2165</v>
      </c>
      <c r="Y313" s="44" t="s">
        <v>2166</v>
      </c>
    </row>
    <row r="314" spans="1:25" x14ac:dyDescent="0.25">
      <c r="A314" s="44" t="s">
        <v>1836</v>
      </c>
      <c r="B314" s="44" t="s">
        <v>226</v>
      </c>
      <c r="C314" s="44" t="s">
        <v>1399</v>
      </c>
      <c r="D314" s="44" t="s">
        <v>142</v>
      </c>
      <c r="E314" s="44" t="s">
        <v>126</v>
      </c>
      <c r="F314" s="44">
        <v>15</v>
      </c>
      <c r="G314" s="44" t="s">
        <v>108</v>
      </c>
      <c r="H314" s="44" t="s">
        <v>122</v>
      </c>
      <c r="I314" s="44" t="s">
        <v>656</v>
      </c>
      <c r="J314" s="44">
        <v>541</v>
      </c>
      <c r="K314" s="44">
        <v>8</v>
      </c>
      <c r="L314" s="45"/>
      <c r="M314" s="44">
        <v>48900</v>
      </c>
      <c r="N314" s="46">
        <f t="shared" si="8"/>
        <v>1.1226993865030675E-2</v>
      </c>
      <c r="O314" s="47" t="str">
        <f t="shared" si="9"/>
        <v/>
      </c>
      <c r="P314" s="44">
        <v>7</v>
      </c>
      <c r="Q314" s="44">
        <v>5</v>
      </c>
      <c r="R314" s="44">
        <v>0</v>
      </c>
      <c r="S314" s="44" t="s">
        <v>1068</v>
      </c>
      <c r="T314" s="44" t="s">
        <v>1068</v>
      </c>
      <c r="U314" s="44"/>
      <c r="V314" s="44"/>
      <c r="W314" s="44" t="s">
        <v>2167</v>
      </c>
      <c r="X314" s="48" t="s">
        <v>2168</v>
      </c>
      <c r="Y314" s="44" t="s">
        <v>2169</v>
      </c>
    </row>
    <row r="315" spans="1:25" x14ac:dyDescent="0.25">
      <c r="A315" s="44" t="s">
        <v>1836</v>
      </c>
      <c r="B315" s="44" t="s">
        <v>226</v>
      </c>
      <c r="C315" s="44" t="s">
        <v>1403</v>
      </c>
      <c r="D315" s="44" t="s">
        <v>142</v>
      </c>
      <c r="E315" s="44" t="s">
        <v>134</v>
      </c>
      <c r="F315" s="44">
        <v>13</v>
      </c>
      <c r="G315" s="44" t="s">
        <v>108</v>
      </c>
      <c r="H315" s="44" t="s">
        <v>116</v>
      </c>
      <c r="I315" s="44" t="s">
        <v>656</v>
      </c>
      <c r="J315" s="44">
        <v>1558</v>
      </c>
      <c r="K315" s="44">
        <v>18</v>
      </c>
      <c r="L315" s="45"/>
      <c r="M315" s="44">
        <v>48900</v>
      </c>
      <c r="N315" s="46">
        <f t="shared" si="8"/>
        <v>3.2229038854805728E-2</v>
      </c>
      <c r="O315" s="47" t="str">
        <f t="shared" si="9"/>
        <v/>
      </c>
      <c r="P315" s="44">
        <v>67</v>
      </c>
      <c r="Q315" s="44">
        <v>5</v>
      </c>
      <c r="R315" s="44">
        <v>0</v>
      </c>
      <c r="S315" s="44" t="s">
        <v>1067</v>
      </c>
      <c r="T315" s="44" t="s">
        <v>1068</v>
      </c>
      <c r="U315" s="44"/>
      <c r="V315" s="44"/>
      <c r="W315" s="44" t="s">
        <v>2170</v>
      </c>
      <c r="X315" s="48" t="s">
        <v>2171</v>
      </c>
      <c r="Y315" s="44" t="s">
        <v>2172</v>
      </c>
    </row>
    <row r="316" spans="1:25" x14ac:dyDescent="0.25">
      <c r="A316" s="44" t="s">
        <v>1836</v>
      </c>
      <c r="B316" s="44" t="s">
        <v>226</v>
      </c>
      <c r="C316" s="44" t="s">
        <v>1738</v>
      </c>
      <c r="D316" s="44" t="s">
        <v>142</v>
      </c>
      <c r="E316" s="44" t="s">
        <v>132</v>
      </c>
      <c r="F316" s="44">
        <v>13</v>
      </c>
      <c r="G316" s="44" t="s">
        <v>108</v>
      </c>
      <c r="H316" s="44" t="s">
        <v>116</v>
      </c>
      <c r="I316" s="44" t="s">
        <v>656</v>
      </c>
      <c r="J316" s="44">
        <v>264</v>
      </c>
      <c r="K316" s="44">
        <v>0</v>
      </c>
      <c r="L316" s="45"/>
      <c r="M316" s="44">
        <v>48900</v>
      </c>
      <c r="N316" s="46">
        <f t="shared" si="8"/>
        <v>5.3987730061349692E-3</v>
      </c>
      <c r="O316" s="47" t="str">
        <f t="shared" si="9"/>
        <v/>
      </c>
      <c r="P316" s="44">
        <v>56</v>
      </c>
      <c r="Q316" s="44">
        <v>5</v>
      </c>
      <c r="R316" s="44">
        <v>0</v>
      </c>
      <c r="S316" s="44" t="s">
        <v>1068</v>
      </c>
      <c r="T316" s="44" t="s">
        <v>1068</v>
      </c>
      <c r="U316" s="44"/>
      <c r="V316" s="44"/>
      <c r="W316" s="44" t="s">
        <v>2173</v>
      </c>
      <c r="X316" s="48" t="s">
        <v>2174</v>
      </c>
      <c r="Y316" s="44" t="s">
        <v>2175</v>
      </c>
    </row>
    <row r="317" spans="1:25" x14ac:dyDescent="0.25">
      <c r="A317" s="44" t="s">
        <v>1836</v>
      </c>
      <c r="B317" s="44" t="s">
        <v>226</v>
      </c>
      <c r="C317" s="44" t="s">
        <v>2176</v>
      </c>
      <c r="D317" s="44" t="s">
        <v>142</v>
      </c>
      <c r="E317" s="44" t="s">
        <v>128</v>
      </c>
      <c r="F317" s="44">
        <v>14</v>
      </c>
      <c r="G317" s="44" t="s">
        <v>108</v>
      </c>
      <c r="H317" s="44" t="s">
        <v>121</v>
      </c>
      <c r="I317" s="44" t="s">
        <v>656</v>
      </c>
      <c r="J317" s="44">
        <v>166</v>
      </c>
      <c r="K317" s="44">
        <v>16</v>
      </c>
      <c r="L317" s="45"/>
      <c r="M317" s="44">
        <v>48900</v>
      </c>
      <c r="N317" s="46">
        <f t="shared" si="8"/>
        <v>3.7218813905930469E-3</v>
      </c>
      <c r="O317" s="47" t="str">
        <f t="shared" si="9"/>
        <v/>
      </c>
      <c r="P317" s="44">
        <v>78</v>
      </c>
      <c r="Q317" s="44">
        <v>5</v>
      </c>
      <c r="R317" s="44">
        <v>0</v>
      </c>
      <c r="S317" s="44" t="s">
        <v>1068</v>
      </c>
      <c r="T317" s="44" t="s">
        <v>1068</v>
      </c>
      <c r="U317" s="44"/>
      <c r="V317" s="44" t="s">
        <v>1836</v>
      </c>
      <c r="W317" s="44" t="s">
        <v>2177</v>
      </c>
      <c r="X317" s="48" t="s">
        <v>2178</v>
      </c>
      <c r="Y317" s="44" t="s">
        <v>2179</v>
      </c>
    </row>
    <row r="318" spans="1:25" x14ac:dyDescent="0.25">
      <c r="A318" s="44" t="s">
        <v>1836</v>
      </c>
      <c r="B318" s="44" t="s">
        <v>226</v>
      </c>
      <c r="C318" s="44" t="s">
        <v>158</v>
      </c>
      <c r="D318" s="44" t="s">
        <v>142</v>
      </c>
      <c r="E318" s="44" t="s">
        <v>132</v>
      </c>
      <c r="F318" s="44">
        <v>14</v>
      </c>
      <c r="G318" s="44" t="s">
        <v>108</v>
      </c>
      <c r="H318" s="44" t="s">
        <v>121</v>
      </c>
      <c r="I318" s="44" t="s">
        <v>650</v>
      </c>
      <c r="J318" s="44">
        <v>194</v>
      </c>
      <c r="K318" s="44">
        <v>4</v>
      </c>
      <c r="L318" s="45"/>
      <c r="M318" s="44">
        <v>48900</v>
      </c>
      <c r="N318" s="46">
        <f t="shared" si="8"/>
        <v>4.0490797546012267E-3</v>
      </c>
      <c r="O318" s="47" t="str">
        <f t="shared" si="9"/>
        <v/>
      </c>
      <c r="P318" s="44">
        <v>82</v>
      </c>
      <c r="Q318" s="44">
        <v>5</v>
      </c>
      <c r="R318" s="44">
        <v>0</v>
      </c>
      <c r="S318" s="44" t="s">
        <v>1067</v>
      </c>
      <c r="T318" s="44" t="s">
        <v>1067</v>
      </c>
      <c r="U318" s="44"/>
      <c r="V318" s="44"/>
      <c r="W318" s="44" t="s">
        <v>2180</v>
      </c>
      <c r="X318" s="48" t="s">
        <v>2181</v>
      </c>
      <c r="Y318" s="44" t="s">
        <v>2182</v>
      </c>
    </row>
    <row r="319" spans="1:25" x14ac:dyDescent="0.25">
      <c r="A319" s="44" t="s">
        <v>1836</v>
      </c>
      <c r="B319" s="44" t="s">
        <v>226</v>
      </c>
      <c r="C319" s="44" t="s">
        <v>1410</v>
      </c>
      <c r="D319" s="44" t="s">
        <v>142</v>
      </c>
      <c r="E319" s="44" t="s">
        <v>128</v>
      </c>
      <c r="F319" s="44">
        <v>12</v>
      </c>
      <c r="G319" s="44" t="s">
        <v>108</v>
      </c>
      <c r="H319" s="44" t="s">
        <v>121</v>
      </c>
      <c r="I319" s="44" t="s">
        <v>656</v>
      </c>
      <c r="J319" s="44">
        <v>330</v>
      </c>
      <c r="K319" s="44">
        <v>0</v>
      </c>
      <c r="L319" s="45"/>
      <c r="M319" s="44">
        <v>48900</v>
      </c>
      <c r="N319" s="46">
        <f t="shared" si="8"/>
        <v>6.7484662576687117E-3</v>
      </c>
      <c r="O319" s="47" t="str">
        <f t="shared" si="9"/>
        <v/>
      </c>
      <c r="P319" s="44">
        <v>97</v>
      </c>
      <c r="Q319" s="44">
        <v>5</v>
      </c>
      <c r="R319" s="44">
        <v>0</v>
      </c>
      <c r="S319" s="44" t="s">
        <v>1068</v>
      </c>
      <c r="T319" s="44" t="s">
        <v>1068</v>
      </c>
      <c r="U319" s="44"/>
      <c r="V319" s="44" t="s">
        <v>2183</v>
      </c>
      <c r="W319" s="44" t="s">
        <v>2184</v>
      </c>
      <c r="X319" s="48" t="s">
        <v>2185</v>
      </c>
      <c r="Y319" s="44" t="s">
        <v>2186</v>
      </c>
    </row>
    <row r="320" spans="1:25" x14ac:dyDescent="0.25">
      <c r="A320" s="44" t="s">
        <v>1836</v>
      </c>
      <c r="B320" s="44" t="s">
        <v>226</v>
      </c>
      <c r="C320" s="44" t="s">
        <v>2187</v>
      </c>
      <c r="D320" s="44" t="s">
        <v>142</v>
      </c>
      <c r="E320" s="44" t="s">
        <v>134</v>
      </c>
      <c r="F320" s="44">
        <v>12</v>
      </c>
      <c r="G320" s="44" t="s">
        <v>109</v>
      </c>
      <c r="H320" s="44" t="s">
        <v>119</v>
      </c>
      <c r="I320" s="44" t="s">
        <v>656</v>
      </c>
      <c r="J320" s="44">
        <v>573</v>
      </c>
      <c r="K320" s="44">
        <v>10</v>
      </c>
      <c r="L320" s="45"/>
      <c r="M320" s="44">
        <v>48900</v>
      </c>
      <c r="N320" s="46">
        <f t="shared" si="8"/>
        <v>1.1922290388548057E-2</v>
      </c>
      <c r="O320" s="47" t="str">
        <f t="shared" si="9"/>
        <v/>
      </c>
      <c r="P320" s="44">
        <v>160</v>
      </c>
      <c r="Q320" s="44">
        <v>5</v>
      </c>
      <c r="R320" s="44">
        <v>0</v>
      </c>
      <c r="S320" s="44" t="s">
        <v>1068</v>
      </c>
      <c r="T320" s="44" t="s">
        <v>1068</v>
      </c>
      <c r="U320" s="44"/>
      <c r="V320" s="44"/>
      <c r="W320" s="44" t="s">
        <v>2188</v>
      </c>
      <c r="X320" s="48" t="s">
        <v>2189</v>
      </c>
      <c r="Y320" s="44" t="s">
        <v>2190</v>
      </c>
    </row>
    <row r="321" spans="1:25" x14ac:dyDescent="0.25">
      <c r="A321" s="44" t="s">
        <v>1836</v>
      </c>
      <c r="B321" s="44" t="s">
        <v>226</v>
      </c>
      <c r="C321" s="44" t="s">
        <v>2191</v>
      </c>
      <c r="D321" s="44" t="s">
        <v>1808</v>
      </c>
      <c r="E321" s="44" t="s">
        <v>126</v>
      </c>
      <c r="F321" s="44">
        <v>11</v>
      </c>
      <c r="G321" s="44" t="s">
        <v>108</v>
      </c>
      <c r="H321" s="44" t="s">
        <v>121</v>
      </c>
      <c r="I321" s="44" t="s">
        <v>656</v>
      </c>
      <c r="J321" s="44">
        <v>3</v>
      </c>
      <c r="K321" s="44">
        <v>2</v>
      </c>
      <c r="L321" s="45"/>
      <c r="M321" s="44">
        <v>48900</v>
      </c>
      <c r="N321" s="46">
        <f t="shared" si="8"/>
        <v>1.0224948875255624E-4</v>
      </c>
      <c r="O321" s="47" t="str">
        <f t="shared" si="9"/>
        <v/>
      </c>
      <c r="P321" s="44">
        <v>65</v>
      </c>
      <c r="Q321" s="44">
        <v>5</v>
      </c>
      <c r="R321" s="44">
        <v>0</v>
      </c>
      <c r="S321" s="44" t="s">
        <v>1068</v>
      </c>
      <c r="T321" s="44" t="s">
        <v>1068</v>
      </c>
      <c r="U321" s="44"/>
      <c r="V321" s="44"/>
      <c r="W321" s="44" t="s">
        <v>2192</v>
      </c>
      <c r="X321" s="48" t="s">
        <v>2193</v>
      </c>
      <c r="Y321" s="44" t="s">
        <v>2194</v>
      </c>
    </row>
    <row r="322" spans="1:25" x14ac:dyDescent="0.25">
      <c r="A322" s="44" t="s">
        <v>2195</v>
      </c>
      <c r="B322" s="44" t="s">
        <v>227</v>
      </c>
      <c r="C322" s="44" t="s">
        <v>2196</v>
      </c>
      <c r="D322" s="44" t="s">
        <v>149</v>
      </c>
      <c r="E322" s="44" t="s">
        <v>128</v>
      </c>
      <c r="F322" s="44">
        <v>10</v>
      </c>
      <c r="G322" s="44" t="s">
        <v>111</v>
      </c>
      <c r="H322" s="44" t="s">
        <v>121</v>
      </c>
      <c r="I322" s="44" t="s">
        <v>656</v>
      </c>
      <c r="J322" s="44">
        <v>9</v>
      </c>
      <c r="K322" s="44">
        <v>0</v>
      </c>
      <c r="L322" s="45"/>
      <c r="M322" s="44">
        <v>6817</v>
      </c>
      <c r="N322" s="46">
        <f t="shared" ref="N322:N385" si="10">(J322+K322)/M322</f>
        <v>1.3202288396655421E-3</v>
      </c>
      <c r="O322" s="47" t="str">
        <f t="shared" ref="O322:O385" si="11">IF(L322="","",L322/M322)</f>
        <v/>
      </c>
      <c r="P322" s="44">
        <v>137</v>
      </c>
      <c r="Q322" s="44">
        <v>0</v>
      </c>
      <c r="R322" s="44">
        <v>1</v>
      </c>
      <c r="S322" s="44" t="s">
        <v>1067</v>
      </c>
      <c r="T322" s="44" t="s">
        <v>1068</v>
      </c>
      <c r="U322" s="44"/>
      <c r="V322" s="44"/>
      <c r="W322" s="44" t="s">
        <v>2197</v>
      </c>
      <c r="X322" s="48" t="s">
        <v>2198</v>
      </c>
      <c r="Y322" s="44" t="s">
        <v>2199</v>
      </c>
    </row>
    <row r="323" spans="1:25" x14ac:dyDescent="0.25">
      <c r="A323" s="44" t="s">
        <v>2195</v>
      </c>
      <c r="B323" s="44" t="s">
        <v>227</v>
      </c>
      <c r="C323" s="44" t="s">
        <v>1066</v>
      </c>
      <c r="D323" s="44" t="s">
        <v>149</v>
      </c>
      <c r="E323" s="44" t="s">
        <v>126</v>
      </c>
      <c r="F323" s="44">
        <v>10</v>
      </c>
      <c r="G323" s="44" t="s">
        <v>108</v>
      </c>
      <c r="H323" s="44" t="s">
        <v>117</v>
      </c>
      <c r="I323" s="44" t="s">
        <v>656</v>
      </c>
      <c r="J323" s="44">
        <v>54</v>
      </c>
      <c r="K323" s="44">
        <v>0</v>
      </c>
      <c r="L323" s="45">
        <v>1244</v>
      </c>
      <c r="M323" s="44">
        <v>6817</v>
      </c>
      <c r="N323" s="46">
        <f t="shared" si="10"/>
        <v>7.9213730379932516E-3</v>
      </c>
      <c r="O323" s="47">
        <f t="shared" si="11"/>
        <v>0.18248496406043715</v>
      </c>
      <c r="P323" s="44">
        <v>134</v>
      </c>
      <c r="Q323" s="44">
        <v>0</v>
      </c>
      <c r="R323" s="44">
        <v>2</v>
      </c>
      <c r="S323" s="44" t="s">
        <v>1067</v>
      </c>
      <c r="T323" s="44" t="s">
        <v>1068</v>
      </c>
      <c r="U323" s="44"/>
      <c r="V323" s="44"/>
      <c r="W323" s="44" t="s">
        <v>2200</v>
      </c>
      <c r="X323" s="48" t="s">
        <v>2201</v>
      </c>
      <c r="Y323" s="44" t="s">
        <v>2202</v>
      </c>
    </row>
    <row r="324" spans="1:25" x14ac:dyDescent="0.25">
      <c r="A324" s="44" t="s">
        <v>2195</v>
      </c>
      <c r="B324" s="44" t="s">
        <v>227</v>
      </c>
      <c r="C324" s="44" t="s">
        <v>1840</v>
      </c>
      <c r="D324" s="44" t="s">
        <v>149</v>
      </c>
      <c r="E324" s="44" t="s">
        <v>132</v>
      </c>
      <c r="F324" s="44">
        <v>10</v>
      </c>
      <c r="G324" s="44" t="s">
        <v>111</v>
      </c>
      <c r="H324" s="44" t="s">
        <v>542</v>
      </c>
      <c r="I324" s="44" t="s">
        <v>656</v>
      </c>
      <c r="J324" s="44">
        <v>53</v>
      </c>
      <c r="K324" s="44">
        <v>0</v>
      </c>
      <c r="L324" s="45"/>
      <c r="M324" s="44">
        <v>6817</v>
      </c>
      <c r="N324" s="46">
        <f t="shared" si="10"/>
        <v>7.7746809446970809E-3</v>
      </c>
      <c r="O324" s="47" t="str">
        <f t="shared" si="11"/>
        <v/>
      </c>
      <c r="P324" s="44">
        <v>146</v>
      </c>
      <c r="Q324" s="44">
        <v>0</v>
      </c>
      <c r="R324" s="44">
        <v>0</v>
      </c>
      <c r="S324" s="44" t="s">
        <v>1067</v>
      </c>
      <c r="T324" s="44" t="s">
        <v>1068</v>
      </c>
      <c r="U324" s="44"/>
      <c r="V324" s="44"/>
      <c r="W324" s="44" t="s">
        <v>2203</v>
      </c>
      <c r="X324" s="48" t="s">
        <v>2204</v>
      </c>
      <c r="Y324" s="44" t="s">
        <v>2205</v>
      </c>
    </row>
    <row r="325" spans="1:25" x14ac:dyDescent="0.25">
      <c r="A325" s="44" t="s">
        <v>2195</v>
      </c>
      <c r="B325" s="44" t="s">
        <v>227</v>
      </c>
      <c r="C325" s="44" t="s">
        <v>182</v>
      </c>
      <c r="D325" s="44" t="s">
        <v>149</v>
      </c>
      <c r="E325" s="44" t="s">
        <v>130</v>
      </c>
      <c r="F325" s="44">
        <v>19</v>
      </c>
      <c r="G325" s="44" t="s">
        <v>109</v>
      </c>
      <c r="H325" s="44" t="s">
        <v>120</v>
      </c>
      <c r="I325" s="44" t="s">
        <v>638</v>
      </c>
      <c r="J325" s="44">
        <v>70</v>
      </c>
      <c r="K325" s="44">
        <v>1</v>
      </c>
      <c r="L325" s="45"/>
      <c r="M325" s="44">
        <v>6817</v>
      </c>
      <c r="N325" s="46">
        <f t="shared" si="10"/>
        <v>1.0415138624028165E-2</v>
      </c>
      <c r="O325" s="47" t="str">
        <f t="shared" si="11"/>
        <v/>
      </c>
      <c r="P325" s="44">
        <v>172</v>
      </c>
      <c r="Q325" s="44">
        <v>0</v>
      </c>
      <c r="R325" s="44">
        <v>4</v>
      </c>
      <c r="S325" s="44" t="s">
        <v>1067</v>
      </c>
      <c r="T325" s="44" t="s">
        <v>1068</v>
      </c>
      <c r="U325" s="44"/>
      <c r="V325" s="44" t="s">
        <v>2195</v>
      </c>
      <c r="W325" s="44" t="s">
        <v>2206</v>
      </c>
      <c r="X325" s="48" t="s">
        <v>2207</v>
      </c>
      <c r="Y325" s="44" t="s">
        <v>2208</v>
      </c>
    </row>
    <row r="326" spans="1:25" x14ac:dyDescent="0.25">
      <c r="A326" s="44" t="s">
        <v>2195</v>
      </c>
      <c r="B326" s="44" t="s">
        <v>227</v>
      </c>
      <c r="C326" s="44" t="s">
        <v>182</v>
      </c>
      <c r="D326" s="44" t="s">
        <v>149</v>
      </c>
      <c r="E326" s="44" t="s">
        <v>130</v>
      </c>
      <c r="F326" s="44">
        <v>10</v>
      </c>
      <c r="G326" s="44" t="s">
        <v>108</v>
      </c>
      <c r="H326" s="44" t="s">
        <v>121</v>
      </c>
      <c r="I326" s="44" t="s">
        <v>656</v>
      </c>
      <c r="J326" s="44">
        <v>60</v>
      </c>
      <c r="K326" s="44">
        <v>2</v>
      </c>
      <c r="L326" s="45">
        <v>3145</v>
      </c>
      <c r="M326" s="44">
        <v>6817</v>
      </c>
      <c r="N326" s="46">
        <f t="shared" si="10"/>
        <v>9.0949097843626234E-3</v>
      </c>
      <c r="O326" s="47">
        <f t="shared" si="11"/>
        <v>0.46134663341645887</v>
      </c>
      <c r="P326" s="44">
        <v>102</v>
      </c>
      <c r="Q326" s="44">
        <v>0</v>
      </c>
      <c r="R326" s="44">
        <v>1</v>
      </c>
      <c r="S326" s="44" t="s">
        <v>1068</v>
      </c>
      <c r="T326" s="44" t="s">
        <v>1068</v>
      </c>
      <c r="U326" s="44"/>
      <c r="V326" s="44"/>
      <c r="W326" s="44" t="s">
        <v>2209</v>
      </c>
      <c r="X326" s="48" t="s">
        <v>2210</v>
      </c>
      <c r="Y326" s="44" t="s">
        <v>2211</v>
      </c>
    </row>
    <row r="327" spans="1:25" x14ac:dyDescent="0.25">
      <c r="A327" s="44" t="s">
        <v>2195</v>
      </c>
      <c r="B327" s="44" t="s">
        <v>227</v>
      </c>
      <c r="C327" s="44" t="s">
        <v>1844</v>
      </c>
      <c r="D327" s="44" t="s">
        <v>149</v>
      </c>
      <c r="E327" s="44" t="s">
        <v>128</v>
      </c>
      <c r="F327" s="44">
        <v>10</v>
      </c>
      <c r="G327" s="44" t="s">
        <v>108</v>
      </c>
      <c r="H327" s="44" t="s">
        <v>120</v>
      </c>
      <c r="I327" s="44" t="s">
        <v>635</v>
      </c>
      <c r="J327" s="44">
        <v>62</v>
      </c>
      <c r="K327" s="44">
        <v>4</v>
      </c>
      <c r="L327" s="45">
        <v>1771</v>
      </c>
      <c r="M327" s="44">
        <v>6817</v>
      </c>
      <c r="N327" s="46">
        <f t="shared" si="10"/>
        <v>9.6816781575473077E-3</v>
      </c>
      <c r="O327" s="47">
        <f t="shared" si="11"/>
        <v>0.25979169722751944</v>
      </c>
      <c r="P327" s="44">
        <v>114</v>
      </c>
      <c r="Q327" s="44">
        <v>0</v>
      </c>
      <c r="R327" s="44">
        <v>0</v>
      </c>
      <c r="S327" s="44" t="s">
        <v>1067</v>
      </c>
      <c r="T327" s="44" t="s">
        <v>1067</v>
      </c>
      <c r="U327" s="44"/>
      <c r="V327" s="44"/>
      <c r="W327" s="44" t="s">
        <v>2212</v>
      </c>
      <c r="X327" s="48" t="s">
        <v>2213</v>
      </c>
      <c r="Y327" s="44" t="s">
        <v>2214</v>
      </c>
    </row>
    <row r="328" spans="1:25" x14ac:dyDescent="0.25">
      <c r="A328" s="44" t="s">
        <v>2195</v>
      </c>
      <c r="B328" s="44" t="s">
        <v>227</v>
      </c>
      <c r="C328" s="44" t="s">
        <v>1474</v>
      </c>
      <c r="D328" s="44" t="s">
        <v>149</v>
      </c>
      <c r="E328" s="44" t="s">
        <v>132</v>
      </c>
      <c r="F328" s="44">
        <v>10</v>
      </c>
      <c r="G328" s="44" t="s">
        <v>111</v>
      </c>
      <c r="H328" s="44" t="s">
        <v>122</v>
      </c>
      <c r="I328" s="44" t="s">
        <v>656</v>
      </c>
      <c r="J328" s="44">
        <v>59</v>
      </c>
      <c r="K328" s="44">
        <v>0</v>
      </c>
      <c r="L328" s="45"/>
      <c r="M328" s="44">
        <v>6817</v>
      </c>
      <c r="N328" s="46">
        <f t="shared" si="10"/>
        <v>8.654833504474109E-3</v>
      </c>
      <c r="O328" s="47" t="str">
        <f t="shared" si="11"/>
        <v/>
      </c>
      <c r="P328" s="44">
        <v>8</v>
      </c>
      <c r="Q328" s="44">
        <v>0</v>
      </c>
      <c r="R328" s="44">
        <v>1</v>
      </c>
      <c r="S328" s="44" t="s">
        <v>1068</v>
      </c>
      <c r="T328" s="44" t="s">
        <v>1068</v>
      </c>
      <c r="U328" s="44"/>
      <c r="V328" s="44"/>
      <c r="W328" s="44" t="s">
        <v>2215</v>
      </c>
      <c r="X328" s="48" t="s">
        <v>2216</v>
      </c>
      <c r="Y328" s="44" t="s">
        <v>2215</v>
      </c>
    </row>
    <row r="329" spans="1:25" x14ac:dyDescent="0.25">
      <c r="A329" s="44" t="s">
        <v>2195</v>
      </c>
      <c r="B329" s="44" t="s">
        <v>227</v>
      </c>
      <c r="C329" s="44" t="s">
        <v>1478</v>
      </c>
      <c r="D329" s="44" t="s">
        <v>148</v>
      </c>
      <c r="E329" s="44" t="s">
        <v>130</v>
      </c>
      <c r="F329" s="44">
        <v>10</v>
      </c>
      <c r="G329" s="44" t="s">
        <v>108</v>
      </c>
      <c r="H329" s="44" t="s">
        <v>116</v>
      </c>
      <c r="I329" s="44" t="s">
        <v>656</v>
      </c>
      <c r="J329" s="44">
        <v>91</v>
      </c>
      <c r="K329" s="44">
        <v>3</v>
      </c>
      <c r="L329" s="45">
        <v>2962</v>
      </c>
      <c r="M329" s="44">
        <v>6817</v>
      </c>
      <c r="N329" s="46">
        <f t="shared" si="10"/>
        <v>1.3789056769840106E-2</v>
      </c>
      <c r="O329" s="47">
        <f t="shared" si="11"/>
        <v>0.43450198034325949</v>
      </c>
      <c r="P329" s="44">
        <v>131</v>
      </c>
      <c r="Q329" s="44">
        <v>1</v>
      </c>
      <c r="R329" s="44">
        <v>0</v>
      </c>
      <c r="S329" s="44" t="s">
        <v>1068</v>
      </c>
      <c r="T329" s="44" t="s">
        <v>1068</v>
      </c>
      <c r="U329" s="44"/>
      <c r="V329" s="44"/>
      <c r="W329" s="44" t="s">
        <v>2217</v>
      </c>
      <c r="X329" s="48" t="s">
        <v>2218</v>
      </c>
      <c r="Y329" s="44" t="s">
        <v>2219</v>
      </c>
    </row>
    <row r="330" spans="1:25" x14ac:dyDescent="0.25">
      <c r="A330" s="44" t="s">
        <v>2195</v>
      </c>
      <c r="B330" s="44" t="s">
        <v>227</v>
      </c>
      <c r="C330" s="44" t="s">
        <v>1086</v>
      </c>
      <c r="D330" s="44" t="s">
        <v>148</v>
      </c>
      <c r="E330" s="44" t="s">
        <v>128</v>
      </c>
      <c r="F330" s="44">
        <v>10</v>
      </c>
      <c r="G330" s="44" t="s">
        <v>108</v>
      </c>
      <c r="H330" s="44" t="s">
        <v>115</v>
      </c>
      <c r="I330" s="44" t="s">
        <v>656</v>
      </c>
      <c r="J330" s="44">
        <v>75</v>
      </c>
      <c r="K330" s="44">
        <v>0</v>
      </c>
      <c r="L330" s="45">
        <v>2446</v>
      </c>
      <c r="M330" s="44">
        <v>6817</v>
      </c>
      <c r="N330" s="46">
        <f t="shared" si="10"/>
        <v>1.1001906997212851E-2</v>
      </c>
      <c r="O330" s="47">
        <f t="shared" si="11"/>
        <v>0.35880886020243508</v>
      </c>
      <c r="P330" s="44">
        <v>88</v>
      </c>
      <c r="Q330" s="44">
        <v>0</v>
      </c>
      <c r="R330" s="44">
        <v>0</v>
      </c>
      <c r="S330" s="44" t="s">
        <v>1067</v>
      </c>
      <c r="T330" s="44" t="s">
        <v>1068</v>
      </c>
      <c r="U330" s="44" t="s">
        <v>2220</v>
      </c>
      <c r="V330" s="44"/>
      <c r="W330" s="44" t="s">
        <v>2221</v>
      </c>
      <c r="X330" s="48" t="s">
        <v>2222</v>
      </c>
      <c r="Y330" s="44" t="s">
        <v>2223</v>
      </c>
    </row>
    <row r="331" spans="1:25" x14ac:dyDescent="0.25">
      <c r="A331" s="44" t="s">
        <v>2195</v>
      </c>
      <c r="B331" s="44" t="s">
        <v>227</v>
      </c>
      <c r="C331" s="44" t="s">
        <v>1095</v>
      </c>
      <c r="D331" s="44" t="s">
        <v>148</v>
      </c>
      <c r="E331" s="44" t="s">
        <v>126</v>
      </c>
      <c r="F331" s="44">
        <v>10</v>
      </c>
      <c r="G331" s="44" t="s">
        <v>111</v>
      </c>
      <c r="H331" s="44" t="s">
        <v>119</v>
      </c>
      <c r="I331" s="44" t="s">
        <v>656</v>
      </c>
      <c r="J331" s="44">
        <v>44</v>
      </c>
      <c r="K331" s="44">
        <v>1</v>
      </c>
      <c r="L331" s="45"/>
      <c r="M331" s="44">
        <v>6817</v>
      </c>
      <c r="N331" s="46">
        <f t="shared" si="10"/>
        <v>6.6011441983277099E-3</v>
      </c>
      <c r="O331" s="47" t="str">
        <f t="shared" si="11"/>
        <v/>
      </c>
      <c r="P331" s="44">
        <v>203</v>
      </c>
      <c r="Q331" s="44">
        <v>0</v>
      </c>
      <c r="R331" s="44">
        <v>0</v>
      </c>
      <c r="S331" s="44" t="s">
        <v>1067</v>
      </c>
      <c r="T331" s="44" t="s">
        <v>1068</v>
      </c>
      <c r="U331" s="44"/>
      <c r="V331" s="44"/>
      <c r="W331" s="44" t="s">
        <v>2224</v>
      </c>
      <c r="X331" s="48" t="s">
        <v>2225</v>
      </c>
      <c r="Y331" s="44" t="s">
        <v>2226</v>
      </c>
    </row>
    <row r="332" spans="1:25" x14ac:dyDescent="0.25">
      <c r="A332" s="44" t="s">
        <v>2195</v>
      </c>
      <c r="B332" s="44" t="s">
        <v>227</v>
      </c>
      <c r="C332" s="44" t="s">
        <v>1482</v>
      </c>
      <c r="D332" s="44" t="s">
        <v>148</v>
      </c>
      <c r="E332" s="44" t="s">
        <v>136</v>
      </c>
      <c r="F332" s="44">
        <v>18</v>
      </c>
      <c r="G332" s="44" t="s">
        <v>111</v>
      </c>
      <c r="H332" s="44" t="s">
        <v>543</v>
      </c>
      <c r="I332" s="44" t="s">
        <v>656</v>
      </c>
      <c r="J332" s="44">
        <v>70</v>
      </c>
      <c r="K332" s="44">
        <v>1</v>
      </c>
      <c r="L332" s="45"/>
      <c r="M332" s="44">
        <v>6817</v>
      </c>
      <c r="N332" s="46">
        <f t="shared" si="10"/>
        <v>1.0415138624028165E-2</v>
      </c>
      <c r="O332" s="47" t="str">
        <f t="shared" si="11"/>
        <v/>
      </c>
      <c r="P332" s="44">
        <v>71</v>
      </c>
      <c r="Q332" s="44">
        <v>3</v>
      </c>
      <c r="R332" s="44">
        <v>4</v>
      </c>
      <c r="S332" s="44" t="s">
        <v>1068</v>
      </c>
      <c r="T332" s="44" t="s">
        <v>1068</v>
      </c>
      <c r="U332" s="44" t="s">
        <v>2227</v>
      </c>
      <c r="V332" s="44" t="s">
        <v>2195</v>
      </c>
      <c r="W332" s="44" t="s">
        <v>2228</v>
      </c>
      <c r="X332" s="48" t="s">
        <v>2229</v>
      </c>
      <c r="Y332" s="44" t="s">
        <v>2230</v>
      </c>
    </row>
    <row r="333" spans="1:25" x14ac:dyDescent="0.25">
      <c r="A333" s="44" t="s">
        <v>2195</v>
      </c>
      <c r="B333" s="44" t="s">
        <v>227</v>
      </c>
      <c r="C333" s="44" t="s">
        <v>1486</v>
      </c>
      <c r="D333" s="44" t="s">
        <v>148</v>
      </c>
      <c r="E333" s="44" t="s">
        <v>132</v>
      </c>
      <c r="F333" s="44">
        <v>10</v>
      </c>
      <c r="G333" s="44" t="s">
        <v>109</v>
      </c>
      <c r="H333" s="44" t="s">
        <v>117</v>
      </c>
      <c r="I333" s="44" t="s">
        <v>629</v>
      </c>
      <c r="J333" s="44">
        <v>136</v>
      </c>
      <c r="K333" s="44">
        <v>6</v>
      </c>
      <c r="L333" s="45"/>
      <c r="M333" s="44">
        <v>6817</v>
      </c>
      <c r="N333" s="46">
        <f t="shared" si="10"/>
        <v>2.083027724805633E-2</v>
      </c>
      <c r="O333" s="47" t="str">
        <f t="shared" si="11"/>
        <v/>
      </c>
      <c r="P333" s="44">
        <v>237</v>
      </c>
      <c r="Q333" s="44">
        <v>0</v>
      </c>
      <c r="R333" s="44">
        <v>2</v>
      </c>
      <c r="S333" s="44" t="s">
        <v>1068</v>
      </c>
      <c r="T333" s="44" t="s">
        <v>1068</v>
      </c>
      <c r="U333" s="44"/>
      <c r="V333" s="44"/>
      <c r="W333" s="44" t="s">
        <v>2231</v>
      </c>
      <c r="X333" s="48" t="s">
        <v>2232</v>
      </c>
      <c r="Y333" s="44" t="s">
        <v>2233</v>
      </c>
    </row>
    <row r="334" spans="1:25" x14ac:dyDescent="0.25">
      <c r="A334" s="44" t="s">
        <v>2195</v>
      </c>
      <c r="B334" s="44" t="s">
        <v>227</v>
      </c>
      <c r="C334" s="44" t="s">
        <v>1103</v>
      </c>
      <c r="D334" s="44" t="s">
        <v>148</v>
      </c>
      <c r="E334" s="44" t="s">
        <v>130</v>
      </c>
      <c r="F334" s="44">
        <v>10</v>
      </c>
      <c r="G334" s="44" t="s">
        <v>109</v>
      </c>
      <c r="H334" s="44" t="s">
        <v>121</v>
      </c>
      <c r="I334" s="44" t="s">
        <v>656</v>
      </c>
      <c r="J334" s="44">
        <v>61</v>
      </c>
      <c r="K334" s="44">
        <v>0</v>
      </c>
      <c r="L334" s="45"/>
      <c r="M334" s="44">
        <v>6817</v>
      </c>
      <c r="N334" s="46">
        <f t="shared" si="10"/>
        <v>8.948217691066452E-3</v>
      </c>
      <c r="O334" s="47" t="str">
        <f t="shared" si="11"/>
        <v/>
      </c>
      <c r="P334" s="44">
        <v>116</v>
      </c>
      <c r="Q334" s="44">
        <v>0</v>
      </c>
      <c r="R334" s="44">
        <v>0</v>
      </c>
      <c r="S334" s="44" t="s">
        <v>1067</v>
      </c>
      <c r="T334" s="44" t="s">
        <v>1068</v>
      </c>
      <c r="U334" s="44"/>
      <c r="V334" s="44"/>
      <c r="W334" s="44" t="s">
        <v>2234</v>
      </c>
      <c r="X334" s="48" t="s">
        <v>2235</v>
      </c>
      <c r="Y334" s="44" t="s">
        <v>2236</v>
      </c>
    </row>
    <row r="335" spans="1:25" x14ac:dyDescent="0.25">
      <c r="A335" s="44" t="s">
        <v>2195</v>
      </c>
      <c r="B335" s="44" t="s">
        <v>227</v>
      </c>
      <c r="C335" s="44" t="s">
        <v>185</v>
      </c>
      <c r="D335" s="44" t="s">
        <v>148</v>
      </c>
      <c r="E335" s="44" t="s">
        <v>126</v>
      </c>
      <c r="F335" s="44">
        <v>10</v>
      </c>
      <c r="G335" s="44" t="s">
        <v>111</v>
      </c>
      <c r="H335" s="44" t="s">
        <v>122</v>
      </c>
      <c r="I335" s="44" t="s">
        <v>656</v>
      </c>
      <c r="J335" s="44">
        <v>58</v>
      </c>
      <c r="K335" s="44">
        <v>0</v>
      </c>
      <c r="L335" s="45"/>
      <c r="M335" s="44">
        <v>6817</v>
      </c>
      <c r="N335" s="46">
        <f t="shared" si="10"/>
        <v>8.5081414111779375E-3</v>
      </c>
      <c r="O335" s="47" t="str">
        <f t="shared" si="11"/>
        <v/>
      </c>
      <c r="P335" s="44">
        <v>5</v>
      </c>
      <c r="Q335" s="44">
        <v>0</v>
      </c>
      <c r="R335" s="44">
        <v>1</v>
      </c>
      <c r="S335" s="44" t="s">
        <v>1068</v>
      </c>
      <c r="T335" s="44" t="s">
        <v>1068</v>
      </c>
      <c r="U335" s="44"/>
      <c r="V335" s="44"/>
      <c r="W335" s="44" t="s">
        <v>2237</v>
      </c>
      <c r="X335" s="48" t="s">
        <v>2238</v>
      </c>
      <c r="Y335" s="44" t="s">
        <v>2237</v>
      </c>
    </row>
    <row r="336" spans="1:25" x14ac:dyDescent="0.25">
      <c r="A336" s="44" t="s">
        <v>2195</v>
      </c>
      <c r="B336" s="44" t="s">
        <v>227</v>
      </c>
      <c r="C336" s="44" t="s">
        <v>192</v>
      </c>
      <c r="D336" s="44" t="s">
        <v>148</v>
      </c>
      <c r="E336" s="44" t="s">
        <v>134</v>
      </c>
      <c r="F336" s="44">
        <v>10</v>
      </c>
      <c r="G336" s="44" t="s">
        <v>108</v>
      </c>
      <c r="H336" s="44" t="s">
        <v>120</v>
      </c>
      <c r="I336" s="44" t="s">
        <v>629</v>
      </c>
      <c r="J336" s="44">
        <v>171</v>
      </c>
      <c r="K336" s="44">
        <v>26</v>
      </c>
      <c r="L336" s="45">
        <v>5778</v>
      </c>
      <c r="M336" s="44">
        <v>6817</v>
      </c>
      <c r="N336" s="46">
        <f t="shared" si="10"/>
        <v>2.8898342379345753E-2</v>
      </c>
      <c r="O336" s="47">
        <f t="shared" si="11"/>
        <v>0.84758691506527795</v>
      </c>
      <c r="P336" s="44">
        <v>59</v>
      </c>
      <c r="Q336" s="44">
        <v>0</v>
      </c>
      <c r="R336" s="44">
        <v>0</v>
      </c>
      <c r="S336" s="44" t="s">
        <v>1067</v>
      </c>
      <c r="T336" s="44" t="s">
        <v>1068</v>
      </c>
      <c r="U336" s="44" t="s">
        <v>2239</v>
      </c>
      <c r="V336" s="44"/>
      <c r="W336" s="44" t="s">
        <v>2240</v>
      </c>
      <c r="X336" s="48" t="s">
        <v>2241</v>
      </c>
      <c r="Y336" s="44" t="s">
        <v>2242</v>
      </c>
    </row>
    <row r="337" spans="1:25" x14ac:dyDescent="0.25">
      <c r="A337" s="44" t="s">
        <v>2195</v>
      </c>
      <c r="B337" s="44" t="s">
        <v>227</v>
      </c>
      <c r="C337" s="44" t="s">
        <v>1497</v>
      </c>
      <c r="D337" s="44" t="s">
        <v>148</v>
      </c>
      <c r="E337" s="44" t="s">
        <v>132</v>
      </c>
      <c r="F337" s="44">
        <v>8</v>
      </c>
      <c r="G337" s="44" t="s">
        <v>111</v>
      </c>
      <c r="H337" s="44" t="s">
        <v>117</v>
      </c>
      <c r="I337" s="44" t="s">
        <v>629</v>
      </c>
      <c r="J337" s="44">
        <v>157</v>
      </c>
      <c r="K337" s="44">
        <v>0</v>
      </c>
      <c r="L337" s="45"/>
      <c r="M337" s="44">
        <v>6817</v>
      </c>
      <c r="N337" s="46">
        <f t="shared" si="10"/>
        <v>2.3030658647498901E-2</v>
      </c>
      <c r="O337" s="47" t="str">
        <f t="shared" si="11"/>
        <v/>
      </c>
      <c r="P337" s="44">
        <v>115</v>
      </c>
      <c r="Q337" s="44">
        <v>0</v>
      </c>
      <c r="R337" s="44">
        <v>0</v>
      </c>
      <c r="S337" s="44" t="s">
        <v>1067</v>
      </c>
      <c r="T337" s="44" t="s">
        <v>1068</v>
      </c>
      <c r="U337" s="44"/>
      <c r="V337" s="44"/>
      <c r="W337" s="44" t="s">
        <v>2243</v>
      </c>
      <c r="X337" s="48" t="s">
        <v>2244</v>
      </c>
      <c r="Y337" s="44" t="s">
        <v>2245</v>
      </c>
    </row>
    <row r="338" spans="1:25" x14ac:dyDescent="0.25">
      <c r="A338" s="44" t="s">
        <v>2195</v>
      </c>
      <c r="B338" s="44" t="s">
        <v>227</v>
      </c>
      <c r="C338" s="44" t="s">
        <v>1122</v>
      </c>
      <c r="D338" s="44" t="s">
        <v>148</v>
      </c>
      <c r="E338" s="44" t="s">
        <v>128</v>
      </c>
      <c r="F338" s="44">
        <v>10</v>
      </c>
      <c r="G338" s="44" t="s">
        <v>111</v>
      </c>
      <c r="H338" s="44" t="s">
        <v>115</v>
      </c>
      <c r="I338" s="44" t="s">
        <v>656</v>
      </c>
      <c r="J338" s="44">
        <v>35</v>
      </c>
      <c r="K338" s="44">
        <v>0</v>
      </c>
      <c r="L338" s="45"/>
      <c r="M338" s="44">
        <v>6817</v>
      </c>
      <c r="N338" s="46">
        <f t="shared" si="10"/>
        <v>5.1342232653659968E-3</v>
      </c>
      <c r="O338" s="47" t="str">
        <f t="shared" si="11"/>
        <v/>
      </c>
      <c r="P338" s="44">
        <v>34</v>
      </c>
      <c r="Q338" s="44">
        <v>0</v>
      </c>
      <c r="R338" s="44">
        <v>1</v>
      </c>
      <c r="S338" s="44" t="s">
        <v>1067</v>
      </c>
      <c r="T338" s="44" t="s">
        <v>1067</v>
      </c>
      <c r="U338" s="44"/>
      <c r="V338" s="44"/>
      <c r="W338" s="44" t="s">
        <v>2246</v>
      </c>
      <c r="X338" s="48" t="s">
        <v>2247</v>
      </c>
      <c r="Y338" s="44" t="s">
        <v>2248</v>
      </c>
    </row>
    <row r="339" spans="1:25" x14ac:dyDescent="0.25">
      <c r="A339" s="44" t="s">
        <v>2195</v>
      </c>
      <c r="B339" s="44" t="s">
        <v>227</v>
      </c>
      <c r="C339" s="44" t="s">
        <v>195</v>
      </c>
      <c r="D339" s="44" t="s">
        <v>148</v>
      </c>
      <c r="E339" s="44" t="s">
        <v>126</v>
      </c>
      <c r="F339" s="44">
        <v>11</v>
      </c>
      <c r="G339" s="44" t="s">
        <v>109</v>
      </c>
      <c r="H339" s="44" t="s">
        <v>121</v>
      </c>
      <c r="I339" s="44" t="s">
        <v>629</v>
      </c>
      <c r="J339" s="44">
        <v>117</v>
      </c>
      <c r="K339" s="44">
        <v>2</v>
      </c>
      <c r="L339" s="45"/>
      <c r="M339" s="44">
        <v>6817</v>
      </c>
      <c r="N339" s="46">
        <f t="shared" si="10"/>
        <v>1.7456359102244388E-2</v>
      </c>
      <c r="O339" s="47" t="str">
        <f t="shared" si="11"/>
        <v/>
      </c>
      <c r="P339" s="44">
        <v>104</v>
      </c>
      <c r="Q339" s="44">
        <v>6</v>
      </c>
      <c r="R339" s="44">
        <v>2</v>
      </c>
      <c r="S339" s="44" t="s">
        <v>1067</v>
      </c>
      <c r="T339" s="44" t="s">
        <v>1068</v>
      </c>
      <c r="U339" s="44" t="s">
        <v>2249</v>
      </c>
      <c r="V339" s="44" t="s">
        <v>2250</v>
      </c>
      <c r="W339" s="44" t="s">
        <v>2251</v>
      </c>
      <c r="X339" s="48" t="s">
        <v>2252</v>
      </c>
      <c r="Y339" s="44" t="s">
        <v>2253</v>
      </c>
    </row>
    <row r="340" spans="1:25" x14ac:dyDescent="0.25">
      <c r="A340" s="44" t="s">
        <v>2195</v>
      </c>
      <c r="B340" s="44" t="s">
        <v>227</v>
      </c>
      <c r="C340" s="44" t="s">
        <v>195</v>
      </c>
      <c r="D340" s="44" t="s">
        <v>148</v>
      </c>
      <c r="E340" s="44" t="s">
        <v>126</v>
      </c>
      <c r="F340" s="44">
        <v>10</v>
      </c>
      <c r="G340" s="44" t="s">
        <v>108</v>
      </c>
      <c r="H340" s="44" t="s">
        <v>121</v>
      </c>
      <c r="I340" s="44" t="s">
        <v>656</v>
      </c>
      <c r="J340" s="44">
        <v>35</v>
      </c>
      <c r="K340" s="44">
        <v>0</v>
      </c>
      <c r="L340" s="45">
        <v>2684</v>
      </c>
      <c r="M340" s="44">
        <v>6817</v>
      </c>
      <c r="N340" s="46">
        <f t="shared" si="10"/>
        <v>5.1342232653659968E-3</v>
      </c>
      <c r="O340" s="47">
        <f t="shared" si="11"/>
        <v>0.39372157840692384</v>
      </c>
      <c r="P340" s="44">
        <v>109</v>
      </c>
      <c r="Q340" s="44">
        <v>0</v>
      </c>
      <c r="R340" s="44">
        <v>1</v>
      </c>
      <c r="S340" s="44" t="s">
        <v>1068</v>
      </c>
      <c r="T340" s="44" t="s">
        <v>1068</v>
      </c>
      <c r="U340" s="44"/>
      <c r="V340" s="44"/>
      <c r="W340" s="44" t="s">
        <v>2254</v>
      </c>
      <c r="X340" s="48" t="s">
        <v>2255</v>
      </c>
      <c r="Y340" s="44" t="s">
        <v>2256</v>
      </c>
    </row>
    <row r="341" spans="1:25" x14ac:dyDescent="0.25">
      <c r="A341" s="44" t="s">
        <v>2195</v>
      </c>
      <c r="B341" s="44" t="s">
        <v>227</v>
      </c>
      <c r="C341" s="44" t="s">
        <v>1508</v>
      </c>
      <c r="D341" s="44" t="s">
        <v>148</v>
      </c>
      <c r="E341" s="44" t="s">
        <v>130</v>
      </c>
      <c r="F341" s="44">
        <v>20</v>
      </c>
      <c r="G341" s="44" t="s">
        <v>108</v>
      </c>
      <c r="H341" s="44" t="s">
        <v>121</v>
      </c>
      <c r="I341" s="44" t="s">
        <v>656</v>
      </c>
      <c r="J341" s="44">
        <v>3</v>
      </c>
      <c r="K341" s="44">
        <v>9</v>
      </c>
      <c r="L341" s="45">
        <v>2631</v>
      </c>
      <c r="M341" s="44">
        <v>6817</v>
      </c>
      <c r="N341" s="46">
        <f t="shared" si="10"/>
        <v>1.7603051195540561E-3</v>
      </c>
      <c r="O341" s="47">
        <f t="shared" si="11"/>
        <v>0.38594689746222677</v>
      </c>
      <c r="P341" s="44">
        <v>87</v>
      </c>
      <c r="Q341" s="44">
        <v>5</v>
      </c>
      <c r="R341" s="44">
        <v>2</v>
      </c>
      <c r="S341" s="44" t="s">
        <v>1068</v>
      </c>
      <c r="T341" s="44" t="s">
        <v>1067</v>
      </c>
      <c r="U341" s="44" t="s">
        <v>2257</v>
      </c>
      <c r="V341" s="44" t="s">
        <v>2258</v>
      </c>
      <c r="W341" s="44" t="s">
        <v>2259</v>
      </c>
      <c r="X341" s="48" t="s">
        <v>2260</v>
      </c>
      <c r="Y341" s="44" t="s">
        <v>2261</v>
      </c>
    </row>
    <row r="342" spans="1:25" x14ac:dyDescent="0.25">
      <c r="A342" s="44" t="s">
        <v>2195</v>
      </c>
      <c r="B342" s="44" t="s">
        <v>227</v>
      </c>
      <c r="C342" s="44" t="s">
        <v>1508</v>
      </c>
      <c r="D342" s="44" t="s">
        <v>148</v>
      </c>
      <c r="E342" s="44" t="s">
        <v>130</v>
      </c>
      <c r="F342" s="44">
        <v>10</v>
      </c>
      <c r="G342" s="44" t="s">
        <v>108</v>
      </c>
      <c r="H342" s="44" t="s">
        <v>119</v>
      </c>
      <c r="I342" s="44" t="s">
        <v>629</v>
      </c>
      <c r="J342" s="44">
        <v>108</v>
      </c>
      <c r="K342" s="44">
        <v>9</v>
      </c>
      <c r="L342" s="45">
        <v>2763</v>
      </c>
      <c r="M342" s="44">
        <v>6817</v>
      </c>
      <c r="N342" s="46">
        <f t="shared" si="10"/>
        <v>1.7162974915652045E-2</v>
      </c>
      <c r="O342" s="47">
        <f t="shared" si="11"/>
        <v>0.40531025377732138</v>
      </c>
      <c r="P342" s="44">
        <v>40</v>
      </c>
      <c r="Q342" s="44">
        <v>0</v>
      </c>
      <c r="R342" s="44">
        <v>0</v>
      </c>
      <c r="S342" s="44" t="s">
        <v>1067</v>
      </c>
      <c r="T342" s="44" t="s">
        <v>1068</v>
      </c>
      <c r="U342" s="44" t="s">
        <v>2262</v>
      </c>
      <c r="V342" s="44"/>
      <c r="W342" s="44" t="s">
        <v>2263</v>
      </c>
      <c r="X342" s="48" t="s">
        <v>2264</v>
      </c>
      <c r="Y342" s="44" t="s">
        <v>2265</v>
      </c>
    </row>
    <row r="343" spans="1:25" x14ac:dyDescent="0.25">
      <c r="A343" s="44" t="s">
        <v>2195</v>
      </c>
      <c r="B343" s="44" t="s">
        <v>227</v>
      </c>
      <c r="C343" s="44" t="s">
        <v>1135</v>
      </c>
      <c r="D343" s="44" t="s">
        <v>148</v>
      </c>
      <c r="E343" s="44" t="s">
        <v>128</v>
      </c>
      <c r="F343" s="44">
        <v>10</v>
      </c>
      <c r="G343" s="44" t="s">
        <v>108</v>
      </c>
      <c r="H343" s="44" t="s">
        <v>116</v>
      </c>
      <c r="I343" s="44" t="s">
        <v>656</v>
      </c>
      <c r="J343" s="44">
        <v>90</v>
      </c>
      <c r="K343" s="44">
        <v>8</v>
      </c>
      <c r="L343" s="45">
        <v>4471</v>
      </c>
      <c r="M343" s="44">
        <v>6817</v>
      </c>
      <c r="N343" s="46">
        <f t="shared" si="10"/>
        <v>1.4375825143024792E-2</v>
      </c>
      <c r="O343" s="47">
        <f t="shared" si="11"/>
        <v>0.65586034912718205</v>
      </c>
      <c r="P343" s="44">
        <v>152</v>
      </c>
      <c r="Q343" s="44">
        <v>5</v>
      </c>
      <c r="R343" s="44">
        <v>4</v>
      </c>
      <c r="S343" s="44" t="s">
        <v>1067</v>
      </c>
      <c r="T343" s="44" t="s">
        <v>1068</v>
      </c>
      <c r="U343" s="44" t="s">
        <v>1172</v>
      </c>
      <c r="V343" s="44"/>
      <c r="W343" s="44" t="s">
        <v>2266</v>
      </c>
      <c r="X343" s="48" t="s">
        <v>2267</v>
      </c>
      <c r="Y343" s="44" t="s">
        <v>2268</v>
      </c>
    </row>
    <row r="344" spans="1:25" x14ac:dyDescent="0.25">
      <c r="A344" s="44" t="s">
        <v>2195</v>
      </c>
      <c r="B344" s="44" t="s">
        <v>227</v>
      </c>
      <c r="C344" s="44" t="s">
        <v>1142</v>
      </c>
      <c r="D344" s="44" t="s">
        <v>148</v>
      </c>
      <c r="E344" s="44" t="s">
        <v>126</v>
      </c>
      <c r="F344" s="44">
        <v>8</v>
      </c>
      <c r="G344" s="44" t="s">
        <v>111</v>
      </c>
      <c r="H344" s="44" t="s">
        <v>116</v>
      </c>
      <c r="I344" s="44" t="s">
        <v>656</v>
      </c>
      <c r="J344" s="44">
        <v>14</v>
      </c>
      <c r="K344" s="44">
        <v>0</v>
      </c>
      <c r="L344" s="45"/>
      <c r="M344" s="44">
        <v>6817</v>
      </c>
      <c r="N344" s="46">
        <f t="shared" si="10"/>
        <v>2.0536893061463986E-3</v>
      </c>
      <c r="O344" s="47" t="str">
        <f t="shared" si="11"/>
        <v/>
      </c>
      <c r="P344" s="44">
        <v>26</v>
      </c>
      <c r="Q344" s="44">
        <v>0</v>
      </c>
      <c r="R344" s="44">
        <v>0</v>
      </c>
      <c r="S344" s="44" t="s">
        <v>1068</v>
      </c>
      <c r="T344" s="44" t="s">
        <v>1068</v>
      </c>
      <c r="U344" s="44"/>
      <c r="V344" s="44"/>
      <c r="W344" s="44" t="s">
        <v>2269</v>
      </c>
      <c r="X344" s="48" t="s">
        <v>2270</v>
      </c>
      <c r="Y344" s="44" t="s">
        <v>2271</v>
      </c>
    </row>
    <row r="345" spans="1:25" x14ac:dyDescent="0.25">
      <c r="A345" s="44" t="s">
        <v>2195</v>
      </c>
      <c r="B345" s="44" t="s">
        <v>227</v>
      </c>
      <c r="C345" s="44" t="s">
        <v>1150</v>
      </c>
      <c r="D345" s="44" t="s">
        <v>148</v>
      </c>
      <c r="E345" s="44" t="s">
        <v>132</v>
      </c>
      <c r="F345" s="44">
        <v>10</v>
      </c>
      <c r="G345" s="44" t="s">
        <v>111</v>
      </c>
      <c r="H345" s="44" t="s">
        <v>117</v>
      </c>
      <c r="I345" s="44" t="s">
        <v>638</v>
      </c>
      <c r="J345" s="44">
        <v>86</v>
      </c>
      <c r="K345" s="44">
        <v>2</v>
      </c>
      <c r="L345" s="45"/>
      <c r="M345" s="44">
        <v>6817</v>
      </c>
      <c r="N345" s="46">
        <f t="shared" si="10"/>
        <v>1.2908904210063077E-2</v>
      </c>
      <c r="O345" s="47" t="str">
        <f t="shared" si="11"/>
        <v/>
      </c>
      <c r="P345" s="44">
        <v>83</v>
      </c>
      <c r="Q345" s="44">
        <v>0</v>
      </c>
      <c r="R345" s="44">
        <v>0</v>
      </c>
      <c r="S345" s="44" t="s">
        <v>1067</v>
      </c>
      <c r="T345" s="44" t="s">
        <v>1068</v>
      </c>
      <c r="U345" s="44"/>
      <c r="V345" s="44"/>
      <c r="W345" s="44" t="s">
        <v>2272</v>
      </c>
      <c r="X345" s="48" t="s">
        <v>2273</v>
      </c>
      <c r="Y345" s="44" t="s">
        <v>2274</v>
      </c>
    </row>
    <row r="346" spans="1:25" x14ac:dyDescent="0.25">
      <c r="A346" s="44" t="s">
        <v>2195</v>
      </c>
      <c r="B346" s="44" t="s">
        <v>227</v>
      </c>
      <c r="C346" s="44" t="s">
        <v>1523</v>
      </c>
      <c r="D346" s="44" t="s">
        <v>148</v>
      </c>
      <c r="E346" s="44" t="s">
        <v>128</v>
      </c>
      <c r="F346" s="44">
        <v>10</v>
      </c>
      <c r="G346" s="44" t="s">
        <v>108</v>
      </c>
      <c r="H346" s="44" t="s">
        <v>118</v>
      </c>
      <c r="I346" s="44" t="s">
        <v>656</v>
      </c>
      <c r="J346" s="44">
        <v>28</v>
      </c>
      <c r="K346" s="44">
        <v>0</v>
      </c>
      <c r="L346" s="45">
        <v>2078</v>
      </c>
      <c r="M346" s="44">
        <v>6817</v>
      </c>
      <c r="N346" s="46">
        <f t="shared" si="10"/>
        <v>4.1073786122927973E-3</v>
      </c>
      <c r="O346" s="47">
        <f t="shared" si="11"/>
        <v>0.30482616986944405</v>
      </c>
      <c r="P346" s="44">
        <v>117</v>
      </c>
      <c r="Q346" s="44">
        <v>0</v>
      </c>
      <c r="R346" s="44">
        <v>4</v>
      </c>
      <c r="S346" s="44" t="s">
        <v>1068</v>
      </c>
      <c r="T346" s="44" t="s">
        <v>1068</v>
      </c>
      <c r="U346" s="44"/>
      <c r="V346" s="44"/>
      <c r="W346" s="44" t="s">
        <v>2275</v>
      </c>
      <c r="X346" s="48" t="s">
        <v>2276</v>
      </c>
      <c r="Y346" s="44" t="s">
        <v>2277</v>
      </c>
    </row>
    <row r="347" spans="1:25" x14ac:dyDescent="0.25">
      <c r="A347" s="44" t="s">
        <v>2195</v>
      </c>
      <c r="B347" s="44" t="s">
        <v>227</v>
      </c>
      <c r="C347" s="44" t="s">
        <v>1527</v>
      </c>
      <c r="D347" s="44" t="s">
        <v>147</v>
      </c>
      <c r="E347" s="44" t="s">
        <v>132</v>
      </c>
      <c r="F347" s="44">
        <v>10</v>
      </c>
      <c r="G347" s="44" t="s">
        <v>108</v>
      </c>
      <c r="H347" s="44" t="s">
        <v>121</v>
      </c>
      <c r="I347" s="44" t="s">
        <v>629</v>
      </c>
      <c r="J347" s="44">
        <v>47</v>
      </c>
      <c r="K347" s="44">
        <v>0</v>
      </c>
      <c r="L347" s="45">
        <v>2533</v>
      </c>
      <c r="M347" s="44">
        <v>6817</v>
      </c>
      <c r="N347" s="46">
        <f t="shared" si="10"/>
        <v>6.8945283849200529E-3</v>
      </c>
      <c r="O347" s="47">
        <f t="shared" si="11"/>
        <v>0.371571072319202</v>
      </c>
      <c r="P347" s="44">
        <v>72</v>
      </c>
      <c r="Q347" s="44">
        <v>0</v>
      </c>
      <c r="R347" s="44">
        <v>1</v>
      </c>
      <c r="S347" s="44" t="s">
        <v>1068</v>
      </c>
      <c r="T347" s="44" t="s">
        <v>1068</v>
      </c>
      <c r="U347" s="44"/>
      <c r="V347" s="44"/>
      <c r="W347" s="44" t="s">
        <v>2278</v>
      </c>
      <c r="X347" s="48" t="s">
        <v>2279</v>
      </c>
      <c r="Y347" s="44" t="s">
        <v>2280</v>
      </c>
    </row>
    <row r="348" spans="1:25" x14ac:dyDescent="0.25">
      <c r="A348" s="44" t="s">
        <v>2195</v>
      </c>
      <c r="B348" s="44" t="s">
        <v>227</v>
      </c>
      <c r="C348" s="44" t="s">
        <v>2281</v>
      </c>
      <c r="D348" s="44" t="s">
        <v>147</v>
      </c>
      <c r="E348" s="44" t="s">
        <v>130</v>
      </c>
      <c r="F348" s="44">
        <v>18</v>
      </c>
      <c r="G348" s="44" t="s">
        <v>108</v>
      </c>
      <c r="H348" s="44" t="s">
        <v>117</v>
      </c>
      <c r="I348" s="44" t="s">
        <v>656</v>
      </c>
      <c r="J348" s="44">
        <v>105</v>
      </c>
      <c r="K348" s="44">
        <v>9</v>
      </c>
      <c r="L348" s="45">
        <v>5557</v>
      </c>
      <c r="M348" s="44">
        <v>6817</v>
      </c>
      <c r="N348" s="46">
        <f t="shared" si="10"/>
        <v>1.6722898635763532E-2</v>
      </c>
      <c r="O348" s="47">
        <f t="shared" si="11"/>
        <v>0.8151679624468241</v>
      </c>
      <c r="P348" s="44">
        <v>111</v>
      </c>
      <c r="Q348" s="44">
        <v>2</v>
      </c>
      <c r="R348" s="44">
        <v>11</v>
      </c>
      <c r="S348" s="44" t="s">
        <v>1068</v>
      </c>
      <c r="T348" s="44" t="s">
        <v>1068</v>
      </c>
      <c r="U348" s="44"/>
      <c r="V348" s="44" t="s">
        <v>2282</v>
      </c>
      <c r="W348" s="44" t="s">
        <v>2283</v>
      </c>
      <c r="X348" s="48" t="s">
        <v>2284</v>
      </c>
      <c r="Y348" s="44" t="s">
        <v>2285</v>
      </c>
    </row>
    <row r="349" spans="1:25" x14ac:dyDescent="0.25">
      <c r="A349" s="44" t="s">
        <v>2195</v>
      </c>
      <c r="B349" s="44" t="s">
        <v>227</v>
      </c>
      <c r="C349" s="44" t="s">
        <v>1531</v>
      </c>
      <c r="D349" s="44" t="s">
        <v>147</v>
      </c>
      <c r="E349" s="44" t="s">
        <v>128</v>
      </c>
      <c r="F349" s="44">
        <v>10</v>
      </c>
      <c r="G349" s="44" t="s">
        <v>109</v>
      </c>
      <c r="H349" s="44" t="s">
        <v>118</v>
      </c>
      <c r="I349" s="44" t="s">
        <v>629</v>
      </c>
      <c r="J349" s="44">
        <v>119</v>
      </c>
      <c r="K349" s="44">
        <v>5</v>
      </c>
      <c r="L349" s="45"/>
      <c r="M349" s="44">
        <v>6817</v>
      </c>
      <c r="N349" s="46">
        <f t="shared" si="10"/>
        <v>1.8189819568725247E-2</v>
      </c>
      <c r="O349" s="47" t="str">
        <f t="shared" si="11"/>
        <v/>
      </c>
      <c r="P349" s="44">
        <v>370</v>
      </c>
      <c r="Q349" s="44">
        <v>0</v>
      </c>
      <c r="R349" s="44">
        <v>0</v>
      </c>
      <c r="S349" s="44" t="s">
        <v>1068</v>
      </c>
      <c r="T349" s="44" t="s">
        <v>1068</v>
      </c>
      <c r="U349" s="44"/>
      <c r="V349" s="44"/>
      <c r="W349" s="44" t="s">
        <v>2286</v>
      </c>
      <c r="X349" s="48" t="s">
        <v>2287</v>
      </c>
      <c r="Y349" s="44" t="s">
        <v>2288</v>
      </c>
    </row>
    <row r="350" spans="1:25" x14ac:dyDescent="0.25">
      <c r="A350" s="44" t="s">
        <v>2195</v>
      </c>
      <c r="B350" s="44" t="s">
        <v>227</v>
      </c>
      <c r="C350" s="44" t="s">
        <v>1163</v>
      </c>
      <c r="D350" s="44" t="s">
        <v>147</v>
      </c>
      <c r="E350" s="44" t="s">
        <v>126</v>
      </c>
      <c r="F350" s="44">
        <v>10</v>
      </c>
      <c r="G350" s="44" t="s">
        <v>111</v>
      </c>
      <c r="H350" s="44" t="s">
        <v>122</v>
      </c>
      <c r="I350" s="44" t="s">
        <v>656</v>
      </c>
      <c r="J350" s="44">
        <v>13</v>
      </c>
      <c r="K350" s="44">
        <v>3</v>
      </c>
      <c r="L350" s="45"/>
      <c r="M350" s="44">
        <v>6817</v>
      </c>
      <c r="N350" s="46">
        <f t="shared" si="10"/>
        <v>2.3470734927387412E-3</v>
      </c>
      <c r="O350" s="47" t="str">
        <f t="shared" si="11"/>
        <v/>
      </c>
      <c r="P350" s="44">
        <v>5</v>
      </c>
      <c r="Q350" s="44">
        <v>0</v>
      </c>
      <c r="R350" s="44">
        <v>1</v>
      </c>
      <c r="S350" s="44" t="s">
        <v>1068</v>
      </c>
      <c r="T350" s="44" t="s">
        <v>1068</v>
      </c>
      <c r="U350" s="44"/>
      <c r="V350" s="44"/>
      <c r="W350" s="44" t="s">
        <v>2289</v>
      </c>
      <c r="X350" s="48" t="s">
        <v>2290</v>
      </c>
      <c r="Y350" s="44" t="s">
        <v>2289</v>
      </c>
    </row>
    <row r="351" spans="1:25" x14ac:dyDescent="0.25">
      <c r="A351" s="44" t="s">
        <v>2195</v>
      </c>
      <c r="B351" s="44" t="s">
        <v>227</v>
      </c>
      <c r="C351" s="44" t="s">
        <v>1171</v>
      </c>
      <c r="D351" s="44" t="s">
        <v>147</v>
      </c>
      <c r="E351" s="44" t="s">
        <v>132</v>
      </c>
      <c r="F351" s="44">
        <v>10</v>
      </c>
      <c r="G351" s="44" t="s">
        <v>108</v>
      </c>
      <c r="H351" s="44" t="s">
        <v>121</v>
      </c>
      <c r="I351" s="44" t="s">
        <v>656</v>
      </c>
      <c r="J351" s="44">
        <v>53</v>
      </c>
      <c r="K351" s="44">
        <v>0</v>
      </c>
      <c r="L351" s="45">
        <v>1848</v>
      </c>
      <c r="M351" s="44">
        <v>6817</v>
      </c>
      <c r="N351" s="46">
        <f t="shared" si="10"/>
        <v>7.7746809446970809E-3</v>
      </c>
      <c r="O351" s="47">
        <f t="shared" si="11"/>
        <v>0.27108698841132461</v>
      </c>
      <c r="P351" s="44">
        <v>118</v>
      </c>
      <c r="Q351" s="44">
        <v>0</v>
      </c>
      <c r="R351" s="44">
        <v>0</v>
      </c>
      <c r="S351" s="44" t="s">
        <v>1068</v>
      </c>
      <c r="T351" s="44" t="s">
        <v>1068</v>
      </c>
      <c r="U351" s="44"/>
      <c r="V351" s="44"/>
      <c r="W351" s="44" t="s">
        <v>2291</v>
      </c>
      <c r="X351" s="48" t="s">
        <v>2292</v>
      </c>
      <c r="Y351" s="44" t="s">
        <v>2293</v>
      </c>
    </row>
    <row r="352" spans="1:25" x14ac:dyDescent="0.25">
      <c r="A352" s="44" t="s">
        <v>2195</v>
      </c>
      <c r="B352" s="44" t="s">
        <v>227</v>
      </c>
      <c r="C352" s="44" t="s">
        <v>1176</v>
      </c>
      <c r="D352" s="44" t="s">
        <v>147</v>
      </c>
      <c r="E352" s="44" t="s">
        <v>130</v>
      </c>
      <c r="F352" s="44">
        <v>10</v>
      </c>
      <c r="G352" s="44" t="s">
        <v>108</v>
      </c>
      <c r="H352" s="44" t="s">
        <v>119</v>
      </c>
      <c r="I352" s="44" t="s">
        <v>638</v>
      </c>
      <c r="J352" s="44">
        <v>347</v>
      </c>
      <c r="K352" s="44">
        <v>34</v>
      </c>
      <c r="L352" s="45">
        <v>35591</v>
      </c>
      <c r="M352" s="44">
        <v>6817</v>
      </c>
      <c r="N352" s="46">
        <f t="shared" si="10"/>
        <v>5.5889687545841282E-2</v>
      </c>
      <c r="O352" s="47">
        <f t="shared" si="11"/>
        <v>5.2209182925040336</v>
      </c>
      <c r="P352" s="44">
        <v>257</v>
      </c>
      <c r="Q352" s="44">
        <v>0</v>
      </c>
      <c r="R352" s="44">
        <v>0</v>
      </c>
      <c r="S352" s="44" t="s">
        <v>1068</v>
      </c>
      <c r="T352" s="44" t="s">
        <v>1068</v>
      </c>
      <c r="U352" s="44"/>
      <c r="V352" s="44" t="s">
        <v>2294</v>
      </c>
      <c r="W352" s="44" t="s">
        <v>304</v>
      </c>
      <c r="X352" s="48" t="s">
        <v>2295</v>
      </c>
      <c r="Y352" s="44" t="s">
        <v>2296</v>
      </c>
    </row>
    <row r="353" spans="1:25" x14ac:dyDescent="0.25">
      <c r="A353" s="44" t="s">
        <v>2195</v>
      </c>
      <c r="B353" s="44" t="s">
        <v>227</v>
      </c>
      <c r="C353" s="44" t="s">
        <v>1180</v>
      </c>
      <c r="D353" s="44" t="s">
        <v>147</v>
      </c>
      <c r="E353" s="44" t="s">
        <v>128</v>
      </c>
      <c r="F353" s="44">
        <v>16</v>
      </c>
      <c r="G353" s="44" t="s">
        <v>108</v>
      </c>
      <c r="H353" s="44" t="s">
        <v>542</v>
      </c>
      <c r="I353" s="44" t="s">
        <v>656</v>
      </c>
      <c r="J353" s="44">
        <v>38</v>
      </c>
      <c r="K353" s="44">
        <v>0</v>
      </c>
      <c r="L353" s="45">
        <v>1440</v>
      </c>
      <c r="M353" s="44">
        <v>6817</v>
      </c>
      <c r="N353" s="46">
        <f t="shared" si="10"/>
        <v>5.5742995452545104E-3</v>
      </c>
      <c r="O353" s="47">
        <f t="shared" si="11"/>
        <v>0.21123661434648672</v>
      </c>
      <c r="P353" s="44">
        <v>141</v>
      </c>
      <c r="Q353" s="44">
        <v>0</v>
      </c>
      <c r="R353" s="44">
        <v>0</v>
      </c>
      <c r="S353" s="44" t="s">
        <v>1067</v>
      </c>
      <c r="T353" s="44" t="s">
        <v>1068</v>
      </c>
      <c r="U353" s="44"/>
      <c r="V353" s="44"/>
      <c r="W353" s="44" t="s">
        <v>2297</v>
      </c>
      <c r="X353" s="48" t="s">
        <v>2298</v>
      </c>
      <c r="Y353" s="44" t="s">
        <v>2299</v>
      </c>
    </row>
    <row r="354" spans="1:25" x14ac:dyDescent="0.25">
      <c r="A354" s="44" t="s">
        <v>2195</v>
      </c>
      <c r="B354" s="44" t="s">
        <v>227</v>
      </c>
      <c r="C354" s="44" t="s">
        <v>2300</v>
      </c>
      <c r="D354" s="44" t="s">
        <v>147</v>
      </c>
      <c r="E354" s="44" t="s">
        <v>130</v>
      </c>
      <c r="F354" s="44">
        <v>10</v>
      </c>
      <c r="G354" s="44" t="s">
        <v>109</v>
      </c>
      <c r="H354" s="44" t="s">
        <v>115</v>
      </c>
      <c r="I354" s="44" t="s">
        <v>656</v>
      </c>
      <c r="J354" s="44">
        <v>132</v>
      </c>
      <c r="K354" s="44">
        <v>2</v>
      </c>
      <c r="L354" s="45"/>
      <c r="M354" s="44">
        <v>6817</v>
      </c>
      <c r="N354" s="46">
        <f t="shared" si="10"/>
        <v>1.9656740501686958E-2</v>
      </c>
      <c r="O354" s="47" t="str">
        <f t="shared" si="11"/>
        <v/>
      </c>
      <c r="P354" s="44">
        <v>13</v>
      </c>
      <c r="Q354" s="44">
        <v>0</v>
      </c>
      <c r="R354" s="44">
        <v>1</v>
      </c>
      <c r="S354" s="44" t="s">
        <v>1067</v>
      </c>
      <c r="T354" s="44" t="s">
        <v>1067</v>
      </c>
      <c r="U354" s="44"/>
      <c r="V354" s="44"/>
      <c r="W354" s="44" t="s">
        <v>2301</v>
      </c>
      <c r="X354" s="48" t="s">
        <v>2302</v>
      </c>
      <c r="Y354" s="44" t="s">
        <v>2303</v>
      </c>
    </row>
    <row r="355" spans="1:25" x14ac:dyDescent="0.25">
      <c r="A355" s="44" t="s">
        <v>2195</v>
      </c>
      <c r="B355" s="44" t="s">
        <v>227</v>
      </c>
      <c r="C355" s="44" t="s">
        <v>1548</v>
      </c>
      <c r="D355" s="44" t="s">
        <v>147</v>
      </c>
      <c r="E355" s="44" t="s">
        <v>128</v>
      </c>
      <c r="F355" s="44">
        <v>10</v>
      </c>
      <c r="G355" s="44" t="s">
        <v>111</v>
      </c>
      <c r="H355" s="44" t="s">
        <v>119</v>
      </c>
      <c r="I355" s="44" t="s">
        <v>656</v>
      </c>
      <c r="J355" s="44">
        <v>41</v>
      </c>
      <c r="K355" s="44">
        <v>1</v>
      </c>
      <c r="L355" s="45"/>
      <c r="M355" s="44">
        <v>6817</v>
      </c>
      <c r="N355" s="46">
        <f t="shared" si="10"/>
        <v>6.1610679184391963E-3</v>
      </c>
      <c r="O355" s="47" t="str">
        <f t="shared" si="11"/>
        <v/>
      </c>
      <c r="P355" s="44">
        <v>90</v>
      </c>
      <c r="Q355" s="44">
        <v>0</v>
      </c>
      <c r="R355" s="44">
        <v>0</v>
      </c>
      <c r="S355" s="44" t="s">
        <v>1068</v>
      </c>
      <c r="T355" s="44" t="s">
        <v>1068</v>
      </c>
      <c r="U355" s="44"/>
      <c r="V355" s="44"/>
      <c r="W355" s="44" t="s">
        <v>2304</v>
      </c>
      <c r="X355" s="48" t="s">
        <v>2305</v>
      </c>
      <c r="Y355" s="44" t="s">
        <v>2306</v>
      </c>
    </row>
    <row r="356" spans="1:25" x14ac:dyDescent="0.25">
      <c r="A356" s="44" t="s">
        <v>2195</v>
      </c>
      <c r="B356" s="44" t="s">
        <v>227</v>
      </c>
      <c r="C356" s="44" t="s">
        <v>1196</v>
      </c>
      <c r="D356" s="44" t="s">
        <v>147</v>
      </c>
      <c r="E356" s="44" t="s">
        <v>126</v>
      </c>
      <c r="F356" s="44">
        <v>11</v>
      </c>
      <c r="G356" s="44" t="s">
        <v>108</v>
      </c>
      <c r="H356" s="44" t="s">
        <v>121</v>
      </c>
      <c r="I356" s="44" t="s">
        <v>656</v>
      </c>
      <c r="J356" s="44">
        <v>71</v>
      </c>
      <c r="K356" s="44">
        <v>0</v>
      </c>
      <c r="L356" s="45">
        <v>2460</v>
      </c>
      <c r="M356" s="44">
        <v>6817</v>
      </c>
      <c r="N356" s="46">
        <f t="shared" si="10"/>
        <v>1.0415138624028165E-2</v>
      </c>
      <c r="O356" s="47">
        <f t="shared" si="11"/>
        <v>0.36086254950858149</v>
      </c>
      <c r="P356" s="44">
        <v>9</v>
      </c>
      <c r="Q356" s="44">
        <v>0</v>
      </c>
      <c r="R356" s="44">
        <v>3</v>
      </c>
      <c r="S356" s="44" t="s">
        <v>1068</v>
      </c>
      <c r="T356" s="44" t="s">
        <v>1068</v>
      </c>
      <c r="U356" s="44"/>
      <c r="V356" s="44"/>
      <c r="W356" s="44" t="s">
        <v>2307</v>
      </c>
      <c r="X356" s="48" t="s">
        <v>2308</v>
      </c>
      <c r="Y356" s="44" t="s">
        <v>2309</v>
      </c>
    </row>
    <row r="357" spans="1:25" x14ac:dyDescent="0.25">
      <c r="A357" s="44" t="s">
        <v>2195</v>
      </c>
      <c r="B357" s="44" t="s">
        <v>227</v>
      </c>
      <c r="C357" s="44" t="s">
        <v>1556</v>
      </c>
      <c r="D357" s="44" t="s">
        <v>147</v>
      </c>
      <c r="E357" s="44" t="s">
        <v>132</v>
      </c>
      <c r="F357" s="44">
        <v>10</v>
      </c>
      <c r="G357" s="44" t="s">
        <v>109</v>
      </c>
      <c r="H357" s="44" t="s">
        <v>122</v>
      </c>
      <c r="I357" s="44" t="s">
        <v>656</v>
      </c>
      <c r="J357" s="44">
        <v>171</v>
      </c>
      <c r="K357" s="44">
        <v>2</v>
      </c>
      <c r="L357" s="45"/>
      <c r="M357" s="44">
        <v>6817</v>
      </c>
      <c r="N357" s="46">
        <f t="shared" si="10"/>
        <v>2.5377732140237641E-2</v>
      </c>
      <c r="O357" s="47" t="str">
        <f t="shared" si="11"/>
        <v/>
      </c>
      <c r="P357" s="44">
        <v>8</v>
      </c>
      <c r="Q357" s="44">
        <v>0</v>
      </c>
      <c r="R357" s="44">
        <v>1</v>
      </c>
      <c r="S357" s="44" t="s">
        <v>1068</v>
      </c>
      <c r="T357" s="44" t="s">
        <v>1068</v>
      </c>
      <c r="U357" s="44"/>
      <c r="V357" s="44"/>
      <c r="W357" s="44" t="s">
        <v>2310</v>
      </c>
      <c r="X357" s="48" t="s">
        <v>2311</v>
      </c>
      <c r="Y357" s="44" t="s">
        <v>2310</v>
      </c>
    </row>
    <row r="358" spans="1:25" x14ac:dyDescent="0.25">
      <c r="A358" s="44" t="s">
        <v>2195</v>
      </c>
      <c r="B358" s="44" t="s">
        <v>227</v>
      </c>
      <c r="C358" s="44" t="s">
        <v>1944</v>
      </c>
      <c r="D358" s="44" t="s">
        <v>147</v>
      </c>
      <c r="E358" s="44" t="s">
        <v>130</v>
      </c>
      <c r="F358" s="44">
        <v>10</v>
      </c>
      <c r="G358" s="44" t="s">
        <v>111</v>
      </c>
      <c r="H358" s="44" t="s">
        <v>117</v>
      </c>
      <c r="I358" s="44" t="s">
        <v>656</v>
      </c>
      <c r="J358" s="44">
        <v>99</v>
      </c>
      <c r="K358" s="44">
        <v>1</v>
      </c>
      <c r="L358" s="45"/>
      <c r="M358" s="44">
        <v>6817</v>
      </c>
      <c r="N358" s="46">
        <f t="shared" si="10"/>
        <v>1.4669209329617133E-2</v>
      </c>
      <c r="O358" s="47" t="str">
        <f t="shared" si="11"/>
        <v/>
      </c>
      <c r="P358" s="44">
        <v>187</v>
      </c>
      <c r="Q358" s="44">
        <v>0</v>
      </c>
      <c r="R358" s="44">
        <v>2</v>
      </c>
      <c r="S358" s="44" t="s">
        <v>1067</v>
      </c>
      <c r="T358" s="44" t="s">
        <v>1068</v>
      </c>
      <c r="U358" s="44"/>
      <c r="V358" s="44" t="s">
        <v>2312</v>
      </c>
      <c r="W358" s="44" t="s">
        <v>2313</v>
      </c>
      <c r="X358" s="48" t="s">
        <v>2314</v>
      </c>
      <c r="Y358" s="44" t="s">
        <v>2315</v>
      </c>
    </row>
    <row r="359" spans="1:25" x14ac:dyDescent="0.25">
      <c r="A359" s="44" t="s">
        <v>2195</v>
      </c>
      <c r="B359" s="44" t="s">
        <v>227</v>
      </c>
      <c r="C359" s="44" t="s">
        <v>1204</v>
      </c>
      <c r="D359" s="44" t="s">
        <v>147</v>
      </c>
      <c r="E359" s="44" t="s">
        <v>128</v>
      </c>
      <c r="F359" s="44">
        <v>10</v>
      </c>
      <c r="G359" s="44" t="s">
        <v>108</v>
      </c>
      <c r="H359" s="44" t="s">
        <v>117</v>
      </c>
      <c r="I359" s="44" t="s">
        <v>629</v>
      </c>
      <c r="J359" s="44">
        <v>126</v>
      </c>
      <c r="K359" s="44">
        <v>6</v>
      </c>
      <c r="L359" s="45">
        <v>2747</v>
      </c>
      <c r="M359" s="44">
        <v>6817</v>
      </c>
      <c r="N359" s="46">
        <f t="shared" si="10"/>
        <v>1.9363356315094615E-2</v>
      </c>
      <c r="O359" s="47">
        <f t="shared" si="11"/>
        <v>0.40296318028458267</v>
      </c>
      <c r="P359" s="44">
        <v>178</v>
      </c>
      <c r="Q359" s="44">
        <v>0</v>
      </c>
      <c r="R359" s="44">
        <v>0</v>
      </c>
      <c r="S359" s="44" t="s">
        <v>1067</v>
      </c>
      <c r="T359" s="44" t="s">
        <v>1068</v>
      </c>
      <c r="U359" s="44"/>
      <c r="V359" s="44"/>
      <c r="W359" s="44" t="s">
        <v>2316</v>
      </c>
      <c r="X359" s="48" t="s">
        <v>2317</v>
      </c>
      <c r="Y359" s="44" t="s">
        <v>2318</v>
      </c>
    </row>
    <row r="360" spans="1:25" x14ac:dyDescent="0.25">
      <c r="A360" s="44" t="s">
        <v>2195</v>
      </c>
      <c r="B360" s="44" t="s">
        <v>227</v>
      </c>
      <c r="C360" s="44" t="s">
        <v>1560</v>
      </c>
      <c r="D360" s="44" t="s">
        <v>147</v>
      </c>
      <c r="E360" s="44" t="s">
        <v>126</v>
      </c>
      <c r="F360" s="44">
        <v>13</v>
      </c>
      <c r="G360" s="44" t="s">
        <v>111</v>
      </c>
      <c r="H360" s="44" t="s">
        <v>542</v>
      </c>
      <c r="I360" s="44" t="s">
        <v>656</v>
      </c>
      <c r="J360" s="44">
        <v>67</v>
      </c>
      <c r="K360" s="44">
        <v>3</v>
      </c>
      <c r="L360" s="45"/>
      <c r="M360" s="44">
        <v>6817</v>
      </c>
      <c r="N360" s="46">
        <f t="shared" si="10"/>
        <v>1.0268446530731994E-2</v>
      </c>
      <c r="O360" s="47" t="str">
        <f t="shared" si="11"/>
        <v/>
      </c>
      <c r="P360" s="44">
        <v>148</v>
      </c>
      <c r="Q360" s="44">
        <v>0</v>
      </c>
      <c r="R360" s="44">
        <v>0</v>
      </c>
      <c r="S360" s="44" t="s">
        <v>1067</v>
      </c>
      <c r="T360" s="44" t="s">
        <v>1068</v>
      </c>
      <c r="U360" s="44"/>
      <c r="V360" s="44"/>
      <c r="W360" s="44" t="s">
        <v>2319</v>
      </c>
      <c r="X360" s="48" t="s">
        <v>2320</v>
      </c>
      <c r="Y360" s="44" t="s">
        <v>2321</v>
      </c>
    </row>
    <row r="361" spans="1:25" x14ac:dyDescent="0.25">
      <c r="A361" s="44" t="s">
        <v>2195</v>
      </c>
      <c r="B361" s="44" t="s">
        <v>227</v>
      </c>
      <c r="C361" s="44" t="s">
        <v>1962</v>
      </c>
      <c r="D361" s="44" t="s">
        <v>146</v>
      </c>
      <c r="E361" s="44" t="s">
        <v>128</v>
      </c>
      <c r="F361" s="44">
        <v>10</v>
      </c>
      <c r="G361" s="44" t="s">
        <v>111</v>
      </c>
      <c r="H361" s="44" t="s">
        <v>121</v>
      </c>
      <c r="I361" s="44" t="s">
        <v>656</v>
      </c>
      <c r="J361" s="44">
        <v>96</v>
      </c>
      <c r="K361" s="44">
        <v>1</v>
      </c>
      <c r="L361" s="45"/>
      <c r="M361" s="44">
        <v>6817</v>
      </c>
      <c r="N361" s="46">
        <f t="shared" si="10"/>
        <v>1.422913304972862E-2</v>
      </c>
      <c r="O361" s="47" t="str">
        <f t="shared" si="11"/>
        <v/>
      </c>
      <c r="P361" s="44">
        <v>169</v>
      </c>
      <c r="Q361" s="44">
        <v>0</v>
      </c>
      <c r="R361" s="44">
        <v>2</v>
      </c>
      <c r="S361" s="44" t="s">
        <v>1067</v>
      </c>
      <c r="T361" s="44" t="s">
        <v>1068</v>
      </c>
      <c r="U361" s="44"/>
      <c r="V361" s="44" t="s">
        <v>2322</v>
      </c>
      <c r="W361" s="44" t="s">
        <v>2323</v>
      </c>
      <c r="X361" s="48" t="s">
        <v>2324</v>
      </c>
      <c r="Y361" s="44" t="s">
        <v>2325</v>
      </c>
    </row>
    <row r="362" spans="1:25" x14ac:dyDescent="0.25">
      <c r="A362" s="44" t="s">
        <v>2195</v>
      </c>
      <c r="B362" s="44" t="s">
        <v>227</v>
      </c>
      <c r="C362" s="44" t="s">
        <v>1217</v>
      </c>
      <c r="D362" s="44" t="s">
        <v>146</v>
      </c>
      <c r="E362" s="44" t="s">
        <v>126</v>
      </c>
      <c r="F362" s="44">
        <v>10</v>
      </c>
      <c r="G362" s="44" t="s">
        <v>108</v>
      </c>
      <c r="H362" s="44" t="s">
        <v>117</v>
      </c>
      <c r="I362" s="44" t="s">
        <v>656</v>
      </c>
      <c r="J362" s="44">
        <v>59</v>
      </c>
      <c r="K362" s="44">
        <v>2</v>
      </c>
      <c r="L362" s="45">
        <v>2317</v>
      </c>
      <c r="M362" s="44">
        <v>6817</v>
      </c>
      <c r="N362" s="46">
        <f t="shared" si="10"/>
        <v>8.948217691066452E-3</v>
      </c>
      <c r="O362" s="47">
        <f t="shared" si="11"/>
        <v>0.33988558016722897</v>
      </c>
      <c r="P362" s="44">
        <v>57</v>
      </c>
      <c r="Q362" s="44">
        <v>0</v>
      </c>
      <c r="R362" s="44">
        <v>0</v>
      </c>
      <c r="S362" s="44" t="s">
        <v>1068</v>
      </c>
      <c r="T362" s="44" t="s">
        <v>1068</v>
      </c>
      <c r="U362" s="44"/>
      <c r="V362" s="44" t="s">
        <v>2326</v>
      </c>
      <c r="W362" s="44" t="s">
        <v>2327</v>
      </c>
      <c r="X362" s="48" t="s">
        <v>2328</v>
      </c>
      <c r="Y362" s="44" t="s">
        <v>2329</v>
      </c>
    </row>
    <row r="363" spans="1:25" x14ac:dyDescent="0.25">
      <c r="A363" s="44" t="s">
        <v>2195</v>
      </c>
      <c r="B363" s="44" t="s">
        <v>227</v>
      </c>
      <c r="C363" s="44" t="s">
        <v>1589</v>
      </c>
      <c r="D363" s="44" t="s">
        <v>146</v>
      </c>
      <c r="E363" s="44" t="s">
        <v>128</v>
      </c>
      <c r="F363" s="44">
        <v>10</v>
      </c>
      <c r="G363" s="44" t="s">
        <v>108</v>
      </c>
      <c r="H363" s="44" t="s">
        <v>119</v>
      </c>
      <c r="I363" s="44" t="s">
        <v>656</v>
      </c>
      <c r="J363" s="44">
        <v>51</v>
      </c>
      <c r="K363" s="44">
        <v>0</v>
      </c>
      <c r="L363" s="45">
        <v>1736</v>
      </c>
      <c r="M363" s="44">
        <v>6817</v>
      </c>
      <c r="N363" s="46">
        <f t="shared" si="10"/>
        <v>7.481296758104738E-3</v>
      </c>
      <c r="O363" s="47">
        <f t="shared" si="11"/>
        <v>0.25465747396215344</v>
      </c>
      <c r="P363" s="44">
        <v>135</v>
      </c>
      <c r="Q363" s="44">
        <v>0</v>
      </c>
      <c r="R363" s="44">
        <v>0</v>
      </c>
      <c r="S363" s="44" t="s">
        <v>1068</v>
      </c>
      <c r="T363" s="44" t="s">
        <v>1068</v>
      </c>
      <c r="U363" s="44"/>
      <c r="V363" s="44"/>
      <c r="W363" s="44" t="s">
        <v>2330</v>
      </c>
      <c r="X363" s="48" t="s">
        <v>2331</v>
      </c>
      <c r="Y363" s="44" t="s">
        <v>2332</v>
      </c>
    </row>
    <row r="364" spans="1:25" x14ac:dyDescent="0.25">
      <c r="A364" s="44" t="s">
        <v>2195</v>
      </c>
      <c r="B364" s="44" t="s">
        <v>227</v>
      </c>
      <c r="C364" s="44" t="s">
        <v>1593</v>
      </c>
      <c r="D364" s="44" t="s">
        <v>146</v>
      </c>
      <c r="E364" s="44" t="s">
        <v>128</v>
      </c>
      <c r="F364" s="44">
        <v>8</v>
      </c>
      <c r="G364" s="44" t="s">
        <v>109</v>
      </c>
      <c r="H364" s="44" t="s">
        <v>122</v>
      </c>
      <c r="I364" s="44" t="s">
        <v>656</v>
      </c>
      <c r="J364" s="44">
        <v>88</v>
      </c>
      <c r="K364" s="44">
        <v>2</v>
      </c>
      <c r="L364" s="45"/>
      <c r="M364" s="44">
        <v>6817</v>
      </c>
      <c r="N364" s="46">
        <f t="shared" si="10"/>
        <v>1.320228839665542E-2</v>
      </c>
      <c r="O364" s="47" t="str">
        <f t="shared" si="11"/>
        <v/>
      </c>
      <c r="P364" s="44">
        <v>35</v>
      </c>
      <c r="Q364" s="44">
        <v>0</v>
      </c>
      <c r="R364" s="44">
        <v>1</v>
      </c>
      <c r="S364" s="44" t="s">
        <v>1068</v>
      </c>
      <c r="T364" s="44" t="s">
        <v>1068</v>
      </c>
      <c r="U364" s="44" t="s">
        <v>2227</v>
      </c>
      <c r="V364" s="44"/>
      <c r="W364" s="44" t="s">
        <v>2333</v>
      </c>
      <c r="X364" s="48" t="s">
        <v>2334</v>
      </c>
      <c r="Y364" s="44" t="s">
        <v>2335</v>
      </c>
    </row>
    <row r="365" spans="1:25" x14ac:dyDescent="0.25">
      <c r="A365" s="44" t="s">
        <v>2195</v>
      </c>
      <c r="B365" s="44" t="s">
        <v>227</v>
      </c>
      <c r="C365" s="44" t="s">
        <v>1242</v>
      </c>
      <c r="D365" s="44" t="s">
        <v>146</v>
      </c>
      <c r="E365" s="44" t="s">
        <v>134</v>
      </c>
      <c r="F365" s="44">
        <v>7</v>
      </c>
      <c r="G365" s="44" t="s">
        <v>111</v>
      </c>
      <c r="H365" s="44" t="s">
        <v>120</v>
      </c>
      <c r="I365" s="44" t="s">
        <v>656</v>
      </c>
      <c r="J365" s="44">
        <v>28</v>
      </c>
      <c r="K365" s="44">
        <v>0</v>
      </c>
      <c r="L365" s="45"/>
      <c r="M365" s="44">
        <v>6817</v>
      </c>
      <c r="N365" s="46">
        <f t="shared" si="10"/>
        <v>4.1073786122927973E-3</v>
      </c>
      <c r="O365" s="47" t="str">
        <f t="shared" si="11"/>
        <v/>
      </c>
      <c r="P365" s="44">
        <v>17</v>
      </c>
      <c r="Q365" s="44">
        <v>0</v>
      </c>
      <c r="R365" s="44">
        <v>1</v>
      </c>
      <c r="S365" s="44" t="s">
        <v>1068</v>
      </c>
      <c r="T365" s="44" t="s">
        <v>1068</v>
      </c>
      <c r="U365" s="44"/>
      <c r="V365" s="44"/>
      <c r="W365" s="44" t="s">
        <v>2336</v>
      </c>
      <c r="X365" s="48" t="s">
        <v>2337</v>
      </c>
      <c r="Y365" s="44" t="s">
        <v>2338</v>
      </c>
    </row>
    <row r="366" spans="1:25" x14ac:dyDescent="0.25">
      <c r="A366" s="44" t="s">
        <v>2195</v>
      </c>
      <c r="B366" s="44" t="s">
        <v>227</v>
      </c>
      <c r="C366" s="44" t="s">
        <v>176</v>
      </c>
      <c r="D366" s="44" t="s">
        <v>145</v>
      </c>
      <c r="E366" s="44" t="s">
        <v>128</v>
      </c>
      <c r="F366" s="44">
        <v>16</v>
      </c>
      <c r="G366" s="44" t="s">
        <v>108</v>
      </c>
      <c r="H366" s="44" t="s">
        <v>122</v>
      </c>
      <c r="I366" s="44" t="s">
        <v>656</v>
      </c>
      <c r="J366" s="44">
        <v>122</v>
      </c>
      <c r="K366" s="44">
        <v>2</v>
      </c>
      <c r="L366" s="45">
        <v>3041</v>
      </c>
      <c r="M366" s="44">
        <v>6817</v>
      </c>
      <c r="N366" s="46">
        <f t="shared" si="10"/>
        <v>1.8189819568725247E-2</v>
      </c>
      <c r="O366" s="47">
        <f t="shared" si="11"/>
        <v>0.44609065571365702</v>
      </c>
      <c r="P366" s="44">
        <v>112</v>
      </c>
      <c r="Q366" s="44">
        <v>0</v>
      </c>
      <c r="R366" s="44">
        <v>2</v>
      </c>
      <c r="S366" s="44" t="s">
        <v>1067</v>
      </c>
      <c r="T366" s="44" t="s">
        <v>1068</v>
      </c>
      <c r="U366" s="44"/>
      <c r="V366" s="44"/>
      <c r="W366" s="44" t="s">
        <v>2339</v>
      </c>
      <c r="X366" s="48" t="s">
        <v>2340</v>
      </c>
      <c r="Y366" s="44" t="s">
        <v>2341</v>
      </c>
    </row>
    <row r="367" spans="1:25" x14ac:dyDescent="0.25">
      <c r="A367" s="44" t="s">
        <v>2195</v>
      </c>
      <c r="B367" s="44" t="s">
        <v>227</v>
      </c>
      <c r="C367" s="44" t="s">
        <v>2015</v>
      </c>
      <c r="D367" s="44" t="s">
        <v>145</v>
      </c>
      <c r="E367" s="44" t="s">
        <v>128</v>
      </c>
      <c r="F367" s="44">
        <v>10</v>
      </c>
      <c r="G367" s="44" t="s">
        <v>109</v>
      </c>
      <c r="H367" s="44" t="s">
        <v>119</v>
      </c>
      <c r="I367" s="44" t="s">
        <v>629</v>
      </c>
      <c r="J367" s="44">
        <v>122</v>
      </c>
      <c r="K367" s="44">
        <v>4</v>
      </c>
      <c r="L367" s="45"/>
      <c r="M367" s="44">
        <v>6817</v>
      </c>
      <c r="N367" s="46">
        <f t="shared" si="10"/>
        <v>1.848320375531759E-2</v>
      </c>
      <c r="O367" s="47" t="str">
        <f t="shared" si="11"/>
        <v/>
      </c>
      <c r="P367" s="44">
        <v>311</v>
      </c>
      <c r="Q367" s="44">
        <v>0</v>
      </c>
      <c r="R367" s="44">
        <v>1</v>
      </c>
      <c r="S367" s="44" t="s">
        <v>1068</v>
      </c>
      <c r="T367" s="44" t="s">
        <v>1068</v>
      </c>
      <c r="U367" s="44"/>
      <c r="V367" s="44"/>
      <c r="W367" s="44" t="s">
        <v>2342</v>
      </c>
      <c r="X367" s="48" t="s">
        <v>2343</v>
      </c>
      <c r="Y367" s="44" t="s">
        <v>2344</v>
      </c>
    </row>
    <row r="368" spans="1:25" x14ac:dyDescent="0.25">
      <c r="A368" s="44" t="s">
        <v>2195</v>
      </c>
      <c r="B368" s="44" t="s">
        <v>227</v>
      </c>
      <c r="C368" s="44" t="s">
        <v>1278</v>
      </c>
      <c r="D368" s="44" t="s">
        <v>145</v>
      </c>
      <c r="E368" s="44" t="s">
        <v>132</v>
      </c>
      <c r="F368" s="44">
        <v>15</v>
      </c>
      <c r="G368" s="44" t="s">
        <v>109</v>
      </c>
      <c r="H368" s="44" t="s">
        <v>119</v>
      </c>
      <c r="I368" s="44" t="s">
        <v>656</v>
      </c>
      <c r="J368" s="44">
        <v>310</v>
      </c>
      <c r="K368" s="44">
        <v>2</v>
      </c>
      <c r="L368" s="45"/>
      <c r="M368" s="44">
        <v>6817</v>
      </c>
      <c r="N368" s="46">
        <f t="shared" si="10"/>
        <v>4.5767933108405455E-2</v>
      </c>
      <c r="O368" s="47" t="str">
        <f t="shared" si="11"/>
        <v/>
      </c>
      <c r="P368" s="44">
        <v>75</v>
      </c>
      <c r="Q368" s="44">
        <v>1</v>
      </c>
      <c r="R368" s="44">
        <v>2</v>
      </c>
      <c r="S368" s="44" t="s">
        <v>1068</v>
      </c>
      <c r="T368" s="44" t="s">
        <v>1068</v>
      </c>
      <c r="U368" s="44" t="s">
        <v>1172</v>
      </c>
      <c r="V368" s="44"/>
      <c r="W368" s="44" t="s">
        <v>305</v>
      </c>
      <c r="X368" s="48" t="s">
        <v>2345</v>
      </c>
      <c r="Y368" s="44" t="s">
        <v>2346</v>
      </c>
    </row>
    <row r="369" spans="1:25" x14ac:dyDescent="0.25">
      <c r="A369" s="44" t="s">
        <v>2195</v>
      </c>
      <c r="B369" s="44" t="s">
        <v>227</v>
      </c>
      <c r="C369" s="44" t="s">
        <v>1278</v>
      </c>
      <c r="D369" s="44" t="s">
        <v>145</v>
      </c>
      <c r="E369" s="44" t="s">
        <v>132</v>
      </c>
      <c r="F369" s="44">
        <v>10</v>
      </c>
      <c r="G369" s="44" t="s">
        <v>108</v>
      </c>
      <c r="H369" s="44" t="s">
        <v>115</v>
      </c>
      <c r="I369" s="44" t="s">
        <v>656</v>
      </c>
      <c r="J369" s="44">
        <v>29</v>
      </c>
      <c r="K369" s="44">
        <v>0</v>
      </c>
      <c r="L369" s="45">
        <v>1900</v>
      </c>
      <c r="M369" s="44">
        <v>6817</v>
      </c>
      <c r="N369" s="46">
        <f t="shared" si="10"/>
        <v>4.2540707055889687E-3</v>
      </c>
      <c r="O369" s="47">
        <f t="shared" si="11"/>
        <v>0.27871497726272554</v>
      </c>
      <c r="P369" s="44">
        <v>86</v>
      </c>
      <c r="Q369" s="44">
        <v>0</v>
      </c>
      <c r="R369" s="44">
        <v>0</v>
      </c>
      <c r="S369" s="44" t="s">
        <v>1068</v>
      </c>
      <c r="T369" s="44" t="s">
        <v>1068</v>
      </c>
      <c r="U369" s="44"/>
      <c r="V369" s="44" t="s">
        <v>2195</v>
      </c>
      <c r="W369" s="44" t="s">
        <v>2347</v>
      </c>
      <c r="X369" s="48" t="s">
        <v>2348</v>
      </c>
      <c r="Y369" s="44" t="s">
        <v>2349</v>
      </c>
    </row>
    <row r="370" spans="1:25" x14ac:dyDescent="0.25">
      <c r="A370" s="44" t="s">
        <v>2195</v>
      </c>
      <c r="B370" s="44" t="s">
        <v>227</v>
      </c>
      <c r="C370" s="44" t="s">
        <v>2350</v>
      </c>
      <c r="D370" s="44" t="s">
        <v>145</v>
      </c>
      <c r="E370" s="44" t="s">
        <v>130</v>
      </c>
      <c r="F370" s="44">
        <v>11</v>
      </c>
      <c r="G370" s="44" t="s">
        <v>111</v>
      </c>
      <c r="H370" s="44" t="s">
        <v>120</v>
      </c>
      <c r="I370" s="44" t="s">
        <v>656</v>
      </c>
      <c r="J370" s="44">
        <v>51</v>
      </c>
      <c r="K370" s="44">
        <v>0</v>
      </c>
      <c r="L370" s="45"/>
      <c r="M370" s="44">
        <v>6817</v>
      </c>
      <c r="N370" s="46">
        <f t="shared" si="10"/>
        <v>7.481296758104738E-3</v>
      </c>
      <c r="O370" s="47" t="str">
        <f t="shared" si="11"/>
        <v/>
      </c>
      <c r="P370" s="44">
        <v>81</v>
      </c>
      <c r="Q370" s="44">
        <v>0</v>
      </c>
      <c r="R370" s="44">
        <v>2</v>
      </c>
      <c r="S370" s="44" t="s">
        <v>1068</v>
      </c>
      <c r="T370" s="44" t="s">
        <v>1068</v>
      </c>
      <c r="U370" s="44"/>
      <c r="V370" s="44"/>
      <c r="W370" s="44" t="s">
        <v>2351</v>
      </c>
      <c r="X370" s="48" t="s">
        <v>2352</v>
      </c>
      <c r="Y370" s="44" t="s">
        <v>2353</v>
      </c>
    </row>
    <row r="371" spans="1:25" x14ac:dyDescent="0.25">
      <c r="A371" s="44" t="s">
        <v>2195</v>
      </c>
      <c r="B371" s="44" t="s">
        <v>227</v>
      </c>
      <c r="C371" s="44" t="s">
        <v>1282</v>
      </c>
      <c r="D371" s="44" t="s">
        <v>145</v>
      </c>
      <c r="E371" s="44" t="s">
        <v>128</v>
      </c>
      <c r="F371" s="44">
        <v>13</v>
      </c>
      <c r="G371" s="44" t="s">
        <v>109</v>
      </c>
      <c r="H371" s="44" t="s">
        <v>119</v>
      </c>
      <c r="I371" s="44" t="s">
        <v>656</v>
      </c>
      <c r="J371" s="44">
        <v>169</v>
      </c>
      <c r="K371" s="44">
        <v>0</v>
      </c>
      <c r="L371" s="45"/>
      <c r="M371" s="44">
        <v>6817</v>
      </c>
      <c r="N371" s="46">
        <f t="shared" si="10"/>
        <v>2.4790963767052955E-2</v>
      </c>
      <c r="O371" s="47" t="str">
        <f t="shared" si="11"/>
        <v/>
      </c>
      <c r="P371" s="44">
        <v>66</v>
      </c>
      <c r="Q371" s="44">
        <v>0</v>
      </c>
      <c r="R371" s="44">
        <v>1</v>
      </c>
      <c r="S371" s="44" t="s">
        <v>1068</v>
      </c>
      <c r="T371" s="44" t="s">
        <v>1068</v>
      </c>
      <c r="U371" s="44"/>
      <c r="V371" s="44"/>
      <c r="W371" s="44" t="s">
        <v>2354</v>
      </c>
      <c r="X371" s="48" t="s">
        <v>2355</v>
      </c>
      <c r="Y371" s="44" t="s">
        <v>2356</v>
      </c>
    </row>
    <row r="372" spans="1:25" x14ac:dyDescent="0.25">
      <c r="A372" s="44" t="s">
        <v>2195</v>
      </c>
      <c r="B372" s="44" t="s">
        <v>227</v>
      </c>
      <c r="C372" s="44" t="s">
        <v>161</v>
      </c>
      <c r="D372" s="44" t="s">
        <v>145</v>
      </c>
      <c r="E372" s="44" t="s">
        <v>132</v>
      </c>
      <c r="F372" s="44">
        <v>16</v>
      </c>
      <c r="G372" s="44" t="s">
        <v>109</v>
      </c>
      <c r="H372" s="44" t="s">
        <v>114</v>
      </c>
      <c r="I372" s="44" t="s">
        <v>656</v>
      </c>
      <c r="J372" s="44">
        <v>191</v>
      </c>
      <c r="K372" s="44">
        <v>0</v>
      </c>
      <c r="L372" s="45"/>
      <c r="M372" s="44">
        <v>6817</v>
      </c>
      <c r="N372" s="46">
        <f t="shared" si="10"/>
        <v>2.8018189819568724E-2</v>
      </c>
      <c r="O372" s="47" t="str">
        <f t="shared" si="11"/>
        <v/>
      </c>
      <c r="P372" s="44">
        <v>144</v>
      </c>
      <c r="Q372" s="44">
        <v>0</v>
      </c>
      <c r="R372" s="44">
        <v>5</v>
      </c>
      <c r="S372" s="44" t="s">
        <v>1068</v>
      </c>
      <c r="T372" s="44" t="s">
        <v>1068</v>
      </c>
      <c r="U372" s="44"/>
      <c r="V372" s="44"/>
      <c r="W372" s="44" t="s">
        <v>2357</v>
      </c>
      <c r="X372" s="48" t="s">
        <v>2358</v>
      </c>
      <c r="Y372" s="44" t="s">
        <v>2359</v>
      </c>
    </row>
    <row r="373" spans="1:25" x14ac:dyDescent="0.25">
      <c r="A373" s="44" t="s">
        <v>2195</v>
      </c>
      <c r="B373" s="44" t="s">
        <v>227</v>
      </c>
      <c r="C373" s="44" t="s">
        <v>1299</v>
      </c>
      <c r="D373" s="44" t="s">
        <v>145</v>
      </c>
      <c r="E373" s="44" t="s">
        <v>130</v>
      </c>
      <c r="F373" s="44">
        <v>13</v>
      </c>
      <c r="G373" s="44" t="s">
        <v>108</v>
      </c>
      <c r="H373" s="44" t="s">
        <v>117</v>
      </c>
      <c r="I373" s="44" t="s">
        <v>656</v>
      </c>
      <c r="J373" s="44">
        <v>32</v>
      </c>
      <c r="K373" s="44">
        <v>5</v>
      </c>
      <c r="L373" s="45">
        <v>3311</v>
      </c>
      <c r="M373" s="44">
        <v>6817</v>
      </c>
      <c r="N373" s="46">
        <f t="shared" si="10"/>
        <v>5.4276074519583398E-3</v>
      </c>
      <c r="O373" s="47">
        <f t="shared" si="11"/>
        <v>0.48569752090362328</v>
      </c>
      <c r="P373" s="44">
        <v>101</v>
      </c>
      <c r="Q373" s="44">
        <v>3</v>
      </c>
      <c r="R373" s="44">
        <v>0</v>
      </c>
      <c r="S373" s="44" t="s">
        <v>1068</v>
      </c>
      <c r="T373" s="44" t="s">
        <v>1068</v>
      </c>
      <c r="U373" s="44" t="s">
        <v>1172</v>
      </c>
      <c r="V373" s="44" t="s">
        <v>2195</v>
      </c>
      <c r="W373" s="44" t="s">
        <v>2360</v>
      </c>
      <c r="X373" s="48" t="s">
        <v>2361</v>
      </c>
      <c r="Y373" s="44" t="s">
        <v>2362</v>
      </c>
    </row>
    <row r="374" spans="1:25" x14ac:dyDescent="0.25">
      <c r="A374" s="44" t="s">
        <v>2195</v>
      </c>
      <c r="B374" s="44" t="s">
        <v>227</v>
      </c>
      <c r="C374" s="44" t="s">
        <v>1628</v>
      </c>
      <c r="D374" s="44" t="s">
        <v>145</v>
      </c>
      <c r="E374" s="44" t="s">
        <v>128</v>
      </c>
      <c r="F374" s="44">
        <v>10</v>
      </c>
      <c r="G374" s="44" t="s">
        <v>108</v>
      </c>
      <c r="H374" s="44" t="s">
        <v>121</v>
      </c>
      <c r="I374" s="44" t="s">
        <v>656</v>
      </c>
      <c r="J374" s="44">
        <v>60</v>
      </c>
      <c r="K374" s="44">
        <v>1</v>
      </c>
      <c r="L374" s="45">
        <v>2209</v>
      </c>
      <c r="M374" s="44">
        <v>6817</v>
      </c>
      <c r="N374" s="46">
        <f t="shared" si="10"/>
        <v>8.948217691066452E-3</v>
      </c>
      <c r="O374" s="47">
        <f t="shared" si="11"/>
        <v>0.32404283409124246</v>
      </c>
      <c r="P374" s="44">
        <v>195</v>
      </c>
      <c r="Q374" s="44">
        <v>0</v>
      </c>
      <c r="R374" s="44">
        <v>0</v>
      </c>
      <c r="S374" s="44" t="s">
        <v>1068</v>
      </c>
      <c r="T374" s="44" t="s">
        <v>1068</v>
      </c>
      <c r="U374" s="44"/>
      <c r="V374" s="44"/>
      <c r="W374" s="44" t="s">
        <v>2363</v>
      </c>
      <c r="X374" s="48" t="s">
        <v>2364</v>
      </c>
      <c r="Y374" s="44" t="s">
        <v>2365</v>
      </c>
    </row>
    <row r="375" spans="1:25" x14ac:dyDescent="0.25">
      <c r="A375" s="44" t="s">
        <v>2195</v>
      </c>
      <c r="B375" s="44" t="s">
        <v>227</v>
      </c>
      <c r="C375" s="44" t="s">
        <v>167</v>
      </c>
      <c r="D375" s="44" t="s">
        <v>145</v>
      </c>
      <c r="E375" s="44" t="s">
        <v>126</v>
      </c>
      <c r="F375" s="44">
        <v>10</v>
      </c>
      <c r="G375" s="44" t="s">
        <v>111</v>
      </c>
      <c r="H375" s="44" t="s">
        <v>119</v>
      </c>
      <c r="I375" s="44" t="s">
        <v>629</v>
      </c>
      <c r="J375" s="44">
        <v>71</v>
      </c>
      <c r="K375" s="44">
        <v>3</v>
      </c>
      <c r="L375" s="45"/>
      <c r="M375" s="44">
        <v>6817</v>
      </c>
      <c r="N375" s="46">
        <f t="shared" si="10"/>
        <v>1.085521490391668E-2</v>
      </c>
      <c r="O375" s="47" t="str">
        <f t="shared" si="11"/>
        <v/>
      </c>
      <c r="P375" s="44">
        <v>60</v>
      </c>
      <c r="Q375" s="44">
        <v>0</v>
      </c>
      <c r="R375" s="44">
        <v>0</v>
      </c>
      <c r="S375" s="44" t="s">
        <v>1067</v>
      </c>
      <c r="T375" s="44" t="s">
        <v>1068</v>
      </c>
      <c r="U375" s="44"/>
      <c r="V375" s="44"/>
      <c r="W375" s="44" t="s">
        <v>2366</v>
      </c>
      <c r="X375" s="48" t="s">
        <v>2367</v>
      </c>
      <c r="Y375" s="44" t="s">
        <v>2368</v>
      </c>
    </row>
    <row r="376" spans="1:25" x14ac:dyDescent="0.25">
      <c r="A376" s="44" t="s">
        <v>2195</v>
      </c>
      <c r="B376" s="44" t="s">
        <v>227</v>
      </c>
      <c r="C376" s="44" t="s">
        <v>2044</v>
      </c>
      <c r="D376" s="44" t="s">
        <v>145</v>
      </c>
      <c r="E376" s="44" t="s">
        <v>134</v>
      </c>
      <c r="F376" s="44">
        <v>10</v>
      </c>
      <c r="G376" s="44" t="s">
        <v>109</v>
      </c>
      <c r="H376" s="44" t="s">
        <v>121</v>
      </c>
      <c r="I376" s="44" t="s">
        <v>656</v>
      </c>
      <c r="J376" s="44">
        <v>41</v>
      </c>
      <c r="K376" s="44">
        <v>0</v>
      </c>
      <c r="L376" s="45"/>
      <c r="M376" s="44">
        <v>6817</v>
      </c>
      <c r="N376" s="46">
        <f t="shared" si="10"/>
        <v>6.0143758251430248E-3</v>
      </c>
      <c r="O376" s="47" t="str">
        <f t="shared" si="11"/>
        <v/>
      </c>
      <c r="P376" s="44">
        <v>142</v>
      </c>
      <c r="Q376" s="44">
        <v>0</v>
      </c>
      <c r="R376" s="44">
        <v>0</v>
      </c>
      <c r="S376" s="44" t="s">
        <v>1068</v>
      </c>
      <c r="T376" s="44" t="s">
        <v>1068</v>
      </c>
      <c r="U376" s="44"/>
      <c r="V376" s="44"/>
      <c r="W376" s="44" t="s">
        <v>2369</v>
      </c>
      <c r="X376" s="48" t="s">
        <v>2370</v>
      </c>
      <c r="Y376" s="44" t="s">
        <v>2371</v>
      </c>
    </row>
    <row r="377" spans="1:25" x14ac:dyDescent="0.25">
      <c r="A377" s="44" t="s">
        <v>2195</v>
      </c>
      <c r="B377" s="44" t="s">
        <v>227</v>
      </c>
      <c r="C377" s="44" t="s">
        <v>1632</v>
      </c>
      <c r="D377" s="44" t="s">
        <v>145</v>
      </c>
      <c r="E377" s="44" t="s">
        <v>132</v>
      </c>
      <c r="F377" s="44">
        <v>11</v>
      </c>
      <c r="G377" s="44" t="s">
        <v>108</v>
      </c>
      <c r="H377" s="44" t="s">
        <v>542</v>
      </c>
      <c r="I377" s="44" t="s">
        <v>656</v>
      </c>
      <c r="J377" s="44">
        <v>18</v>
      </c>
      <c r="K377" s="44">
        <v>0</v>
      </c>
      <c r="L377" s="45">
        <v>1077</v>
      </c>
      <c r="M377" s="44">
        <v>6817</v>
      </c>
      <c r="N377" s="46">
        <f t="shared" si="10"/>
        <v>2.6404576793310841E-3</v>
      </c>
      <c r="O377" s="47">
        <f t="shared" si="11"/>
        <v>0.15798738447997654</v>
      </c>
      <c r="P377" s="44">
        <v>15</v>
      </c>
      <c r="Q377" s="44">
        <v>5</v>
      </c>
      <c r="R377" s="44">
        <v>0</v>
      </c>
      <c r="S377" s="44" t="s">
        <v>1068</v>
      </c>
      <c r="T377" s="44" t="s">
        <v>1068</v>
      </c>
      <c r="U377" s="44" t="s">
        <v>2372</v>
      </c>
      <c r="V377" s="44" t="s">
        <v>2195</v>
      </c>
      <c r="W377" s="44" t="s">
        <v>2373</v>
      </c>
      <c r="X377" s="48" t="s">
        <v>2374</v>
      </c>
      <c r="Y377" s="44" t="s">
        <v>2375</v>
      </c>
    </row>
    <row r="378" spans="1:25" x14ac:dyDescent="0.25">
      <c r="A378" s="44" t="s">
        <v>2195</v>
      </c>
      <c r="B378" s="44" t="s">
        <v>227</v>
      </c>
      <c r="C378" s="44" t="s">
        <v>2376</v>
      </c>
      <c r="D378" s="44" t="s">
        <v>145</v>
      </c>
      <c r="E378" s="44" t="s">
        <v>130</v>
      </c>
      <c r="F378" s="44">
        <v>10</v>
      </c>
      <c r="G378" s="44" t="s">
        <v>108</v>
      </c>
      <c r="H378" s="44" t="s">
        <v>119</v>
      </c>
      <c r="I378" s="44" t="s">
        <v>629</v>
      </c>
      <c r="J378" s="44">
        <v>131</v>
      </c>
      <c r="K378" s="44">
        <v>14</v>
      </c>
      <c r="L378" s="45">
        <v>3093</v>
      </c>
      <c r="M378" s="44">
        <v>6817</v>
      </c>
      <c r="N378" s="46">
        <f t="shared" si="10"/>
        <v>2.1270353527944843E-2</v>
      </c>
      <c r="O378" s="47">
        <f t="shared" si="11"/>
        <v>0.45371864456505795</v>
      </c>
      <c r="P378" s="44">
        <v>146</v>
      </c>
      <c r="Q378" s="44">
        <v>0</v>
      </c>
      <c r="R378" s="44">
        <v>0</v>
      </c>
      <c r="S378" s="44" t="s">
        <v>1067</v>
      </c>
      <c r="T378" s="44" t="s">
        <v>1067</v>
      </c>
      <c r="U378" s="44"/>
      <c r="V378" s="44"/>
      <c r="W378" s="44" t="s">
        <v>2377</v>
      </c>
      <c r="X378" s="48" t="s">
        <v>2378</v>
      </c>
      <c r="Y378" s="44" t="s">
        <v>2379</v>
      </c>
    </row>
    <row r="379" spans="1:25" x14ac:dyDescent="0.25">
      <c r="A379" s="44" t="s">
        <v>2195</v>
      </c>
      <c r="B379" s="44" t="s">
        <v>227</v>
      </c>
      <c r="C379" s="44" t="s">
        <v>2051</v>
      </c>
      <c r="D379" s="44" t="s">
        <v>145</v>
      </c>
      <c r="E379" s="44" t="s">
        <v>128</v>
      </c>
      <c r="F379" s="44">
        <v>10</v>
      </c>
      <c r="G379" s="44" t="s">
        <v>109</v>
      </c>
      <c r="H379" s="44" t="s">
        <v>121</v>
      </c>
      <c r="I379" s="44" t="s">
        <v>656</v>
      </c>
      <c r="J379" s="44">
        <v>46</v>
      </c>
      <c r="K379" s="44">
        <v>2</v>
      </c>
      <c r="L379" s="45"/>
      <c r="M379" s="44">
        <v>6817</v>
      </c>
      <c r="N379" s="46">
        <f t="shared" si="10"/>
        <v>7.0412204782162244E-3</v>
      </c>
      <c r="O379" s="47" t="str">
        <f t="shared" si="11"/>
        <v/>
      </c>
      <c r="P379" s="44">
        <v>168</v>
      </c>
      <c r="Q379" s="44">
        <v>0</v>
      </c>
      <c r="R379" s="44">
        <v>0</v>
      </c>
      <c r="S379" s="44" t="s">
        <v>1068</v>
      </c>
      <c r="T379" s="44" t="s">
        <v>1068</v>
      </c>
      <c r="U379" s="44"/>
      <c r="V379" s="44"/>
      <c r="W379" s="44" t="s">
        <v>2380</v>
      </c>
      <c r="X379" s="48" t="s">
        <v>2381</v>
      </c>
      <c r="Y379" s="44" t="s">
        <v>2382</v>
      </c>
    </row>
    <row r="380" spans="1:25" x14ac:dyDescent="0.25">
      <c r="A380" s="44" t="s">
        <v>2195</v>
      </c>
      <c r="B380" s="44" t="s">
        <v>227</v>
      </c>
      <c r="C380" s="44" t="s">
        <v>1305</v>
      </c>
      <c r="D380" s="44" t="s">
        <v>145</v>
      </c>
      <c r="E380" s="44" t="s">
        <v>126</v>
      </c>
      <c r="F380" s="44">
        <v>14</v>
      </c>
      <c r="G380" s="44" t="s">
        <v>111</v>
      </c>
      <c r="H380" s="44" t="s">
        <v>121</v>
      </c>
      <c r="I380" s="44" t="s">
        <v>638</v>
      </c>
      <c r="J380" s="44">
        <v>31</v>
      </c>
      <c r="K380" s="44">
        <v>1</v>
      </c>
      <c r="L380" s="45"/>
      <c r="M380" s="44">
        <v>6817</v>
      </c>
      <c r="N380" s="46">
        <f t="shared" si="10"/>
        <v>4.6941469854774823E-3</v>
      </c>
      <c r="O380" s="47" t="str">
        <f t="shared" si="11"/>
        <v/>
      </c>
      <c r="P380" s="44">
        <v>64</v>
      </c>
      <c r="Q380" s="44">
        <v>6</v>
      </c>
      <c r="R380" s="44">
        <v>0</v>
      </c>
      <c r="S380" s="44" t="s">
        <v>1067</v>
      </c>
      <c r="T380" s="44" t="s">
        <v>1068</v>
      </c>
      <c r="U380" s="44"/>
      <c r="V380" s="44" t="s">
        <v>2195</v>
      </c>
      <c r="W380" s="44" t="s">
        <v>2383</v>
      </c>
      <c r="X380" s="48" t="s">
        <v>2384</v>
      </c>
      <c r="Y380" s="44" t="s">
        <v>2385</v>
      </c>
    </row>
    <row r="381" spans="1:25" x14ac:dyDescent="0.25">
      <c r="A381" s="44" t="s">
        <v>2195</v>
      </c>
      <c r="B381" s="44" t="s">
        <v>227</v>
      </c>
      <c r="C381" s="44" t="s">
        <v>1305</v>
      </c>
      <c r="D381" s="44" t="s">
        <v>145</v>
      </c>
      <c r="E381" s="44" t="s">
        <v>126</v>
      </c>
      <c r="F381" s="44">
        <v>12</v>
      </c>
      <c r="G381" s="44" t="s">
        <v>108</v>
      </c>
      <c r="H381" s="44" t="s">
        <v>120</v>
      </c>
      <c r="I381" s="44" t="s">
        <v>635</v>
      </c>
      <c r="J381" s="44">
        <v>34</v>
      </c>
      <c r="K381" s="44">
        <v>0</v>
      </c>
      <c r="L381" s="45">
        <v>1830</v>
      </c>
      <c r="M381" s="44">
        <v>6817</v>
      </c>
      <c r="N381" s="46">
        <f t="shared" si="10"/>
        <v>4.9875311720698253E-3</v>
      </c>
      <c r="O381" s="47">
        <f t="shared" si="11"/>
        <v>0.26844653073199354</v>
      </c>
      <c r="P381" s="44">
        <v>67</v>
      </c>
      <c r="Q381" s="44">
        <v>0</v>
      </c>
      <c r="R381" s="44">
        <v>0</v>
      </c>
      <c r="S381" s="44" t="s">
        <v>1067</v>
      </c>
      <c r="T381" s="44" t="s">
        <v>1067</v>
      </c>
      <c r="U381" s="44"/>
      <c r="V381" s="44"/>
      <c r="W381" s="44" t="s">
        <v>2386</v>
      </c>
      <c r="X381" s="48" t="s">
        <v>2387</v>
      </c>
      <c r="Y381" s="44" t="s">
        <v>2388</v>
      </c>
    </row>
    <row r="382" spans="1:25" x14ac:dyDescent="0.25">
      <c r="A382" s="44" t="s">
        <v>2195</v>
      </c>
      <c r="B382" s="44" t="s">
        <v>227</v>
      </c>
      <c r="C382" s="44" t="s">
        <v>2059</v>
      </c>
      <c r="D382" s="44" t="s">
        <v>144</v>
      </c>
      <c r="E382" s="44" t="s">
        <v>132</v>
      </c>
      <c r="F382" s="44">
        <v>10</v>
      </c>
      <c r="G382" s="44" t="s">
        <v>108</v>
      </c>
      <c r="H382" s="44" t="s">
        <v>121</v>
      </c>
      <c r="I382" s="44" t="s">
        <v>650</v>
      </c>
      <c r="J382" s="44">
        <v>64</v>
      </c>
      <c r="K382" s="44">
        <v>0</v>
      </c>
      <c r="L382" s="45">
        <v>1729</v>
      </c>
      <c r="M382" s="44">
        <v>6817</v>
      </c>
      <c r="N382" s="46">
        <f t="shared" si="10"/>
        <v>9.3882939709549647E-3</v>
      </c>
      <c r="O382" s="47">
        <f t="shared" si="11"/>
        <v>0.25363062930908026</v>
      </c>
      <c r="P382" s="44">
        <v>66</v>
      </c>
      <c r="Q382" s="44">
        <v>0</v>
      </c>
      <c r="R382" s="44">
        <v>0</v>
      </c>
      <c r="S382" s="44" t="s">
        <v>1067</v>
      </c>
      <c r="T382" s="44" t="s">
        <v>1067</v>
      </c>
      <c r="U382" s="44"/>
      <c r="V382" s="44"/>
      <c r="W382" s="44" t="s">
        <v>2389</v>
      </c>
      <c r="X382" s="48" t="s">
        <v>2390</v>
      </c>
      <c r="Y382" s="44" t="s">
        <v>2391</v>
      </c>
    </row>
    <row r="383" spans="1:25" x14ac:dyDescent="0.25">
      <c r="A383" s="44" t="s">
        <v>2195</v>
      </c>
      <c r="B383" s="44" t="s">
        <v>227</v>
      </c>
      <c r="C383" s="44" t="s">
        <v>1636</v>
      </c>
      <c r="D383" s="44" t="s">
        <v>144</v>
      </c>
      <c r="E383" s="44" t="s">
        <v>130</v>
      </c>
      <c r="F383" s="44">
        <v>10</v>
      </c>
      <c r="G383" s="44" t="s">
        <v>108</v>
      </c>
      <c r="H383" s="44" t="s">
        <v>120</v>
      </c>
      <c r="I383" s="44" t="s">
        <v>650</v>
      </c>
      <c r="J383" s="44">
        <v>23</v>
      </c>
      <c r="K383" s="44">
        <v>0</v>
      </c>
      <c r="L383" s="45">
        <v>1336</v>
      </c>
      <c r="M383" s="44">
        <v>6817</v>
      </c>
      <c r="N383" s="46">
        <f t="shared" si="10"/>
        <v>3.3739181458119407E-3</v>
      </c>
      <c r="O383" s="47">
        <f t="shared" si="11"/>
        <v>0.1959806366436849</v>
      </c>
      <c r="P383" s="44">
        <v>67</v>
      </c>
      <c r="Q383" s="44">
        <v>0</v>
      </c>
      <c r="R383" s="44">
        <v>0</v>
      </c>
      <c r="S383" s="44" t="s">
        <v>1067</v>
      </c>
      <c r="T383" s="44" t="s">
        <v>1067</v>
      </c>
      <c r="U383" s="44"/>
      <c r="V383" s="44"/>
      <c r="W383" s="44" t="s">
        <v>2392</v>
      </c>
      <c r="X383" s="48" t="s">
        <v>2393</v>
      </c>
      <c r="Y383" s="44" t="s">
        <v>2394</v>
      </c>
    </row>
    <row r="384" spans="1:25" x14ac:dyDescent="0.25">
      <c r="A384" s="44" t="s">
        <v>2195</v>
      </c>
      <c r="B384" s="44" t="s">
        <v>227</v>
      </c>
      <c r="C384" s="44" t="s">
        <v>1309</v>
      </c>
      <c r="D384" s="44" t="s">
        <v>144</v>
      </c>
      <c r="E384" s="44" t="s">
        <v>128</v>
      </c>
      <c r="F384" s="44">
        <v>12</v>
      </c>
      <c r="G384" s="44" t="s">
        <v>109</v>
      </c>
      <c r="H384" s="44" t="s">
        <v>119</v>
      </c>
      <c r="I384" s="44" t="s">
        <v>629</v>
      </c>
      <c r="J384" s="44">
        <v>146</v>
      </c>
      <c r="K384" s="44">
        <v>3</v>
      </c>
      <c r="L384" s="45"/>
      <c r="M384" s="44">
        <v>6817</v>
      </c>
      <c r="N384" s="46">
        <f t="shared" si="10"/>
        <v>2.1857121901129529E-2</v>
      </c>
      <c r="O384" s="47" t="str">
        <f t="shared" si="11"/>
        <v/>
      </c>
      <c r="P384" s="44">
        <v>186</v>
      </c>
      <c r="Q384" s="44">
        <v>0</v>
      </c>
      <c r="R384" s="44">
        <v>2</v>
      </c>
      <c r="S384" s="44" t="s">
        <v>1068</v>
      </c>
      <c r="T384" s="44" t="s">
        <v>1068</v>
      </c>
      <c r="U384" s="44"/>
      <c r="V384" s="44"/>
      <c r="W384" s="44" t="s">
        <v>2395</v>
      </c>
      <c r="X384" s="48" t="s">
        <v>2396</v>
      </c>
      <c r="Y384" s="44" t="s">
        <v>2397</v>
      </c>
    </row>
    <row r="385" spans="1:25" x14ac:dyDescent="0.25">
      <c r="A385" s="44" t="s">
        <v>2195</v>
      </c>
      <c r="B385" s="44" t="s">
        <v>227</v>
      </c>
      <c r="C385" s="44" t="s">
        <v>1317</v>
      </c>
      <c r="D385" s="44" t="s">
        <v>144</v>
      </c>
      <c r="E385" s="44" t="s">
        <v>132</v>
      </c>
      <c r="F385" s="44">
        <v>10</v>
      </c>
      <c r="G385" s="44" t="s">
        <v>108</v>
      </c>
      <c r="H385" s="44" t="s">
        <v>120</v>
      </c>
      <c r="I385" s="44" t="s">
        <v>638</v>
      </c>
      <c r="J385" s="44">
        <v>19</v>
      </c>
      <c r="K385" s="44">
        <v>0</v>
      </c>
      <c r="L385" s="45">
        <v>1121</v>
      </c>
      <c r="M385" s="44">
        <v>6817</v>
      </c>
      <c r="N385" s="46">
        <f t="shared" si="10"/>
        <v>2.7871497726272552E-3</v>
      </c>
      <c r="O385" s="47">
        <f t="shared" si="11"/>
        <v>0.16444183658500808</v>
      </c>
      <c r="P385" s="44">
        <v>97</v>
      </c>
      <c r="Q385" s="44">
        <v>0</v>
      </c>
      <c r="R385" s="44">
        <v>0</v>
      </c>
      <c r="S385" s="44" t="s">
        <v>1067</v>
      </c>
      <c r="T385" s="44" t="s">
        <v>1068</v>
      </c>
      <c r="U385" s="44"/>
      <c r="V385" s="44"/>
      <c r="W385" s="44" t="s">
        <v>2398</v>
      </c>
      <c r="X385" s="48" t="s">
        <v>2399</v>
      </c>
      <c r="Y385" s="44" t="s">
        <v>2400</v>
      </c>
    </row>
    <row r="386" spans="1:25" x14ac:dyDescent="0.25">
      <c r="A386" s="44" t="s">
        <v>2195</v>
      </c>
      <c r="B386" s="44" t="s">
        <v>227</v>
      </c>
      <c r="C386" s="44" t="s">
        <v>1321</v>
      </c>
      <c r="D386" s="44" t="s">
        <v>144</v>
      </c>
      <c r="E386" s="44" t="s">
        <v>130</v>
      </c>
      <c r="F386" s="44">
        <v>10</v>
      </c>
      <c r="G386" s="44" t="s">
        <v>111</v>
      </c>
      <c r="H386" s="44" t="s">
        <v>115</v>
      </c>
      <c r="I386" s="44" t="s">
        <v>656</v>
      </c>
      <c r="J386" s="44">
        <v>56</v>
      </c>
      <c r="K386" s="44">
        <v>0</v>
      </c>
      <c r="L386" s="45"/>
      <c r="M386" s="44">
        <v>6817</v>
      </c>
      <c r="N386" s="46">
        <f t="shared" ref="N386:N449" si="12">(J386+K386)/M386</f>
        <v>8.2147572245855945E-3</v>
      </c>
      <c r="O386" s="47" t="str">
        <f t="shared" ref="O386:O449" si="13">IF(L386="","",L386/M386)</f>
        <v/>
      </c>
      <c r="P386" s="44">
        <v>243</v>
      </c>
      <c r="Q386" s="44">
        <v>0</v>
      </c>
      <c r="R386" s="44">
        <v>0</v>
      </c>
      <c r="S386" s="44" t="s">
        <v>1068</v>
      </c>
      <c r="T386" s="44" t="s">
        <v>1068</v>
      </c>
      <c r="U386" s="44"/>
      <c r="V386" s="44" t="s">
        <v>2401</v>
      </c>
      <c r="W386" s="44" t="s">
        <v>2402</v>
      </c>
      <c r="X386" s="48" t="s">
        <v>2403</v>
      </c>
      <c r="Y386" s="44" t="s">
        <v>2404</v>
      </c>
    </row>
    <row r="387" spans="1:25" x14ac:dyDescent="0.25">
      <c r="A387" s="44" t="s">
        <v>2195</v>
      </c>
      <c r="B387" s="44" t="s">
        <v>227</v>
      </c>
      <c r="C387" s="44" t="s">
        <v>1650</v>
      </c>
      <c r="D387" s="44" t="s">
        <v>144</v>
      </c>
      <c r="E387" s="44" t="s">
        <v>128</v>
      </c>
      <c r="F387" s="44">
        <v>10</v>
      </c>
      <c r="G387" s="44" t="s">
        <v>111</v>
      </c>
      <c r="H387" s="44" t="s">
        <v>121</v>
      </c>
      <c r="I387" s="44" t="s">
        <v>650</v>
      </c>
      <c r="J387" s="44">
        <v>25</v>
      </c>
      <c r="K387" s="44">
        <v>0</v>
      </c>
      <c r="L387" s="45"/>
      <c r="M387" s="44">
        <v>6817</v>
      </c>
      <c r="N387" s="46">
        <f t="shared" si="12"/>
        <v>3.6673023324042832E-3</v>
      </c>
      <c r="O387" s="47" t="str">
        <f t="shared" si="13"/>
        <v/>
      </c>
      <c r="P387" s="44">
        <v>72</v>
      </c>
      <c r="Q387" s="44">
        <v>0</v>
      </c>
      <c r="R387" s="44">
        <v>0</v>
      </c>
      <c r="S387" s="44" t="s">
        <v>1067</v>
      </c>
      <c r="T387" s="44" t="s">
        <v>1067</v>
      </c>
      <c r="U387" s="44"/>
      <c r="V387" s="44"/>
      <c r="W387" s="44" t="s">
        <v>2405</v>
      </c>
      <c r="X387" s="48" t="s">
        <v>2406</v>
      </c>
      <c r="Y387" s="44" t="s">
        <v>2407</v>
      </c>
    </row>
    <row r="388" spans="1:25" x14ac:dyDescent="0.25">
      <c r="A388" s="44" t="s">
        <v>2195</v>
      </c>
      <c r="B388" s="44" t="s">
        <v>227</v>
      </c>
      <c r="C388" s="44" t="s">
        <v>2075</v>
      </c>
      <c r="D388" s="44" t="s">
        <v>144</v>
      </c>
      <c r="E388" s="44" t="s">
        <v>126</v>
      </c>
      <c r="F388" s="44">
        <v>10</v>
      </c>
      <c r="G388" s="44" t="s">
        <v>108</v>
      </c>
      <c r="H388" s="44" t="s">
        <v>120</v>
      </c>
      <c r="I388" s="44" t="s">
        <v>650</v>
      </c>
      <c r="J388" s="44">
        <v>34</v>
      </c>
      <c r="K388" s="44">
        <v>0</v>
      </c>
      <c r="L388" s="45">
        <v>1469</v>
      </c>
      <c r="M388" s="44">
        <v>6817</v>
      </c>
      <c r="N388" s="46">
        <f t="shared" si="12"/>
        <v>4.9875311720698253E-3</v>
      </c>
      <c r="O388" s="47">
        <f t="shared" si="13"/>
        <v>0.21549068505207569</v>
      </c>
      <c r="P388" s="44">
        <v>58</v>
      </c>
      <c r="Q388" s="44">
        <v>0</v>
      </c>
      <c r="R388" s="44">
        <v>0</v>
      </c>
      <c r="S388" s="44" t="s">
        <v>1067</v>
      </c>
      <c r="T388" s="44" t="s">
        <v>1067</v>
      </c>
      <c r="U388" s="44"/>
      <c r="V388" s="44"/>
      <c r="W388" s="44" t="s">
        <v>2408</v>
      </c>
      <c r="X388" s="48" t="s">
        <v>2409</v>
      </c>
      <c r="Y388" s="44" t="s">
        <v>2410</v>
      </c>
    </row>
    <row r="389" spans="1:25" x14ac:dyDescent="0.25">
      <c r="A389" s="44" t="s">
        <v>2195</v>
      </c>
      <c r="B389" s="44" t="s">
        <v>227</v>
      </c>
      <c r="C389" s="44" t="s">
        <v>1325</v>
      </c>
      <c r="D389" s="44" t="s">
        <v>144</v>
      </c>
      <c r="E389" s="44" t="s">
        <v>134</v>
      </c>
      <c r="F389" s="44">
        <v>9</v>
      </c>
      <c r="G389" s="44" t="s">
        <v>108</v>
      </c>
      <c r="H389" s="44" t="s">
        <v>120</v>
      </c>
      <c r="I389" s="44" t="s">
        <v>656</v>
      </c>
      <c r="J389" s="44">
        <v>36</v>
      </c>
      <c r="K389" s="44">
        <v>0</v>
      </c>
      <c r="L389" s="45">
        <v>1321</v>
      </c>
      <c r="M389" s="44">
        <v>6817</v>
      </c>
      <c r="N389" s="46">
        <f t="shared" si="12"/>
        <v>5.2809153586621683E-3</v>
      </c>
      <c r="O389" s="47">
        <f t="shared" si="13"/>
        <v>0.19378025524424233</v>
      </c>
      <c r="P389" s="44">
        <v>42</v>
      </c>
      <c r="Q389" s="44">
        <v>0</v>
      </c>
      <c r="R389" s="44">
        <v>1</v>
      </c>
      <c r="S389" s="44" t="s">
        <v>1067</v>
      </c>
      <c r="T389" s="44" t="s">
        <v>1068</v>
      </c>
      <c r="U389" s="44"/>
      <c r="V389" s="44"/>
      <c r="W389" s="44" t="s">
        <v>2411</v>
      </c>
      <c r="X389" s="48" t="s">
        <v>2412</v>
      </c>
      <c r="Y389" s="44" t="s">
        <v>2413</v>
      </c>
    </row>
    <row r="390" spans="1:25" x14ac:dyDescent="0.25">
      <c r="A390" s="44" t="s">
        <v>2195</v>
      </c>
      <c r="B390" s="44" t="s">
        <v>227</v>
      </c>
      <c r="C390" s="44" t="s">
        <v>1658</v>
      </c>
      <c r="D390" s="44" t="s">
        <v>144</v>
      </c>
      <c r="E390" s="44" t="s">
        <v>132</v>
      </c>
      <c r="F390" s="44">
        <v>10</v>
      </c>
      <c r="G390" s="44" t="s">
        <v>108</v>
      </c>
      <c r="H390" s="44" t="s">
        <v>120</v>
      </c>
      <c r="I390" s="44" t="s">
        <v>638</v>
      </c>
      <c r="J390" s="44">
        <v>26</v>
      </c>
      <c r="K390" s="44">
        <v>1</v>
      </c>
      <c r="L390" s="45">
        <v>1080</v>
      </c>
      <c r="M390" s="44">
        <v>6817</v>
      </c>
      <c r="N390" s="46">
        <f t="shared" si="12"/>
        <v>3.9606865189966258E-3</v>
      </c>
      <c r="O390" s="47">
        <f t="shared" si="13"/>
        <v>0.15842746075986505</v>
      </c>
      <c r="P390" s="44">
        <v>69</v>
      </c>
      <c r="Q390" s="44">
        <v>0</v>
      </c>
      <c r="R390" s="44">
        <v>0</v>
      </c>
      <c r="S390" s="44" t="s">
        <v>1067</v>
      </c>
      <c r="T390" s="44" t="s">
        <v>1068</v>
      </c>
      <c r="U390" s="44"/>
      <c r="V390" s="44"/>
      <c r="W390" s="44" t="s">
        <v>2414</v>
      </c>
      <c r="X390" s="48" t="s">
        <v>2415</v>
      </c>
      <c r="Y390" s="44" t="s">
        <v>2416</v>
      </c>
    </row>
    <row r="391" spans="1:25" x14ac:dyDescent="0.25">
      <c r="A391" s="44" t="s">
        <v>2195</v>
      </c>
      <c r="B391" s="44" t="s">
        <v>227</v>
      </c>
      <c r="C391" s="44" t="s">
        <v>1329</v>
      </c>
      <c r="D391" s="44" t="s">
        <v>144</v>
      </c>
      <c r="E391" s="44" t="s">
        <v>130</v>
      </c>
      <c r="F391" s="44">
        <v>10</v>
      </c>
      <c r="G391" s="44" t="s">
        <v>109</v>
      </c>
      <c r="H391" s="44" t="s">
        <v>542</v>
      </c>
      <c r="I391" s="44" t="s">
        <v>656</v>
      </c>
      <c r="J391" s="44">
        <v>186</v>
      </c>
      <c r="K391" s="44">
        <v>0</v>
      </c>
      <c r="L391" s="45"/>
      <c r="M391" s="44">
        <v>6817</v>
      </c>
      <c r="N391" s="46">
        <f t="shared" si="12"/>
        <v>2.7284729353087869E-2</v>
      </c>
      <c r="O391" s="47" t="str">
        <f t="shared" si="13"/>
        <v/>
      </c>
      <c r="P391" s="44">
        <v>241</v>
      </c>
      <c r="Q391" s="44">
        <v>0</v>
      </c>
      <c r="R391" s="44">
        <v>0</v>
      </c>
      <c r="S391" s="44" t="s">
        <v>1067</v>
      </c>
      <c r="T391" s="44" t="s">
        <v>1068</v>
      </c>
      <c r="U391" s="44" t="s">
        <v>2417</v>
      </c>
      <c r="V391" s="44"/>
      <c r="W391" s="44" t="s">
        <v>2418</v>
      </c>
      <c r="X391" s="48" t="s">
        <v>2419</v>
      </c>
      <c r="Y391" s="44" t="s">
        <v>2420</v>
      </c>
    </row>
    <row r="392" spans="1:25" x14ac:dyDescent="0.25">
      <c r="A392" s="44" t="s">
        <v>2195</v>
      </c>
      <c r="B392" s="44" t="s">
        <v>227</v>
      </c>
      <c r="C392" s="44" t="s">
        <v>1334</v>
      </c>
      <c r="D392" s="44" t="s">
        <v>144</v>
      </c>
      <c r="E392" s="44" t="s">
        <v>128</v>
      </c>
      <c r="F392" s="44">
        <v>10</v>
      </c>
      <c r="G392" s="44" t="s">
        <v>108</v>
      </c>
      <c r="H392" s="44" t="s">
        <v>542</v>
      </c>
      <c r="I392" s="44" t="s">
        <v>656</v>
      </c>
      <c r="J392" s="44">
        <v>18</v>
      </c>
      <c r="K392" s="44">
        <v>0</v>
      </c>
      <c r="L392" s="45">
        <v>1656</v>
      </c>
      <c r="M392" s="44">
        <v>6817</v>
      </c>
      <c r="N392" s="46">
        <f t="shared" si="12"/>
        <v>2.6404576793310841E-3</v>
      </c>
      <c r="O392" s="47">
        <f t="shared" si="13"/>
        <v>0.24292210649845974</v>
      </c>
      <c r="P392" s="44">
        <v>141</v>
      </c>
      <c r="Q392" s="44">
        <v>0</v>
      </c>
      <c r="R392" s="44">
        <v>0</v>
      </c>
      <c r="S392" s="44" t="s">
        <v>1067</v>
      </c>
      <c r="T392" s="44" t="s">
        <v>1068</v>
      </c>
      <c r="U392" s="44"/>
      <c r="V392" s="44"/>
      <c r="W392" s="44" t="s">
        <v>2421</v>
      </c>
      <c r="X392" s="48" t="s">
        <v>2422</v>
      </c>
      <c r="Y392" s="44" t="s">
        <v>2423</v>
      </c>
    </row>
    <row r="393" spans="1:25" x14ac:dyDescent="0.25">
      <c r="A393" s="44" t="s">
        <v>2195</v>
      </c>
      <c r="B393" s="44" t="s">
        <v>227</v>
      </c>
      <c r="C393" s="44" t="s">
        <v>2088</v>
      </c>
      <c r="D393" s="44" t="s">
        <v>144</v>
      </c>
      <c r="E393" s="44" t="s">
        <v>126</v>
      </c>
      <c r="F393" s="44">
        <v>19</v>
      </c>
      <c r="G393" s="44" t="s">
        <v>108</v>
      </c>
      <c r="H393" s="44" t="s">
        <v>117</v>
      </c>
      <c r="I393" s="44" t="s">
        <v>656</v>
      </c>
      <c r="J393" s="44">
        <v>43</v>
      </c>
      <c r="K393" s="44">
        <v>2</v>
      </c>
      <c r="L393" s="45">
        <v>2938</v>
      </c>
      <c r="M393" s="44">
        <v>6817</v>
      </c>
      <c r="N393" s="46">
        <f t="shared" si="12"/>
        <v>6.6011441983277099E-3</v>
      </c>
      <c r="O393" s="47">
        <f t="shared" si="13"/>
        <v>0.43098137010415138</v>
      </c>
      <c r="P393" s="44">
        <v>96</v>
      </c>
      <c r="Q393" s="44">
        <v>7</v>
      </c>
      <c r="R393" s="44">
        <v>0</v>
      </c>
      <c r="S393" s="44" t="s">
        <v>1068</v>
      </c>
      <c r="T393" s="44" t="s">
        <v>1068</v>
      </c>
      <c r="U393" s="44"/>
      <c r="V393" s="44" t="s">
        <v>2424</v>
      </c>
      <c r="W393" s="44" t="s">
        <v>2425</v>
      </c>
      <c r="X393" s="48" t="s">
        <v>2426</v>
      </c>
      <c r="Y393" s="44" t="s">
        <v>2427</v>
      </c>
    </row>
    <row r="394" spans="1:25" x14ac:dyDescent="0.25">
      <c r="A394" s="44" t="s">
        <v>2195</v>
      </c>
      <c r="B394" s="44" t="s">
        <v>227</v>
      </c>
      <c r="C394" s="44" t="s">
        <v>1673</v>
      </c>
      <c r="D394" s="44" t="s">
        <v>144</v>
      </c>
      <c r="E394" s="44" t="s">
        <v>130</v>
      </c>
      <c r="F394" s="44">
        <v>10</v>
      </c>
      <c r="G394" s="44" t="s">
        <v>108</v>
      </c>
      <c r="H394" s="44" t="s">
        <v>120</v>
      </c>
      <c r="I394" s="44" t="s">
        <v>650</v>
      </c>
      <c r="J394" s="44">
        <v>19</v>
      </c>
      <c r="K394" s="44">
        <v>0</v>
      </c>
      <c r="L394" s="45">
        <v>1338</v>
      </c>
      <c r="M394" s="44">
        <v>6817</v>
      </c>
      <c r="N394" s="46">
        <f t="shared" si="12"/>
        <v>2.7871497726272552E-3</v>
      </c>
      <c r="O394" s="47">
        <f t="shared" si="13"/>
        <v>0.19627402083027726</v>
      </c>
      <c r="P394" s="44">
        <v>55</v>
      </c>
      <c r="Q394" s="44">
        <v>0</v>
      </c>
      <c r="R394" s="44">
        <v>0</v>
      </c>
      <c r="S394" s="44" t="s">
        <v>1067</v>
      </c>
      <c r="T394" s="44" t="s">
        <v>1067</v>
      </c>
      <c r="U394" s="44"/>
      <c r="V394" s="44"/>
      <c r="W394" s="44" t="s">
        <v>2428</v>
      </c>
      <c r="X394" s="48" t="s">
        <v>2429</v>
      </c>
      <c r="Y394" s="44" t="s">
        <v>2430</v>
      </c>
    </row>
    <row r="395" spans="1:25" x14ac:dyDescent="0.25">
      <c r="A395" s="44" t="s">
        <v>2195</v>
      </c>
      <c r="B395" s="44" t="s">
        <v>227</v>
      </c>
      <c r="C395" s="44" t="s">
        <v>2102</v>
      </c>
      <c r="D395" s="44" t="s">
        <v>144</v>
      </c>
      <c r="E395" s="44" t="s">
        <v>128</v>
      </c>
      <c r="F395" s="44">
        <v>10</v>
      </c>
      <c r="G395" s="44" t="s">
        <v>109</v>
      </c>
      <c r="H395" s="44" t="s">
        <v>119</v>
      </c>
      <c r="I395" s="44" t="s">
        <v>656</v>
      </c>
      <c r="J395" s="44">
        <v>172</v>
      </c>
      <c r="K395" s="44">
        <v>1</v>
      </c>
      <c r="L395" s="45"/>
      <c r="M395" s="44">
        <v>6817</v>
      </c>
      <c r="N395" s="46">
        <f t="shared" si="12"/>
        <v>2.5377732140237641E-2</v>
      </c>
      <c r="O395" s="47" t="str">
        <f t="shared" si="13"/>
        <v/>
      </c>
      <c r="P395" s="44">
        <v>47</v>
      </c>
      <c r="Q395" s="44">
        <v>0</v>
      </c>
      <c r="R395" s="44">
        <v>1</v>
      </c>
      <c r="S395" s="44" t="s">
        <v>1068</v>
      </c>
      <c r="T395" s="44" t="s">
        <v>1068</v>
      </c>
      <c r="U395" s="44" t="s">
        <v>2431</v>
      </c>
      <c r="V395" s="44"/>
      <c r="W395" s="44" t="s">
        <v>2432</v>
      </c>
      <c r="X395" s="48" t="s">
        <v>2433</v>
      </c>
      <c r="Y395" s="44" t="s">
        <v>2434</v>
      </c>
    </row>
    <row r="396" spans="1:25" x14ac:dyDescent="0.25">
      <c r="A396" s="44" t="s">
        <v>2195</v>
      </c>
      <c r="B396" s="44" t="s">
        <v>227</v>
      </c>
      <c r="C396" s="44" t="s">
        <v>2435</v>
      </c>
      <c r="D396" s="44" t="s">
        <v>144</v>
      </c>
      <c r="E396" s="44" t="s">
        <v>126</v>
      </c>
      <c r="F396" s="44">
        <v>10</v>
      </c>
      <c r="G396" s="44" t="s">
        <v>111</v>
      </c>
      <c r="H396" s="44" t="s">
        <v>121</v>
      </c>
      <c r="I396" s="44" t="s">
        <v>656</v>
      </c>
      <c r="J396" s="44">
        <v>85</v>
      </c>
      <c r="K396" s="44">
        <v>1</v>
      </c>
      <c r="L396" s="45"/>
      <c r="M396" s="44">
        <v>6817</v>
      </c>
      <c r="N396" s="46">
        <f t="shared" si="12"/>
        <v>1.2615520023470736E-2</v>
      </c>
      <c r="O396" s="47" t="str">
        <f t="shared" si="13"/>
        <v/>
      </c>
      <c r="P396" s="44">
        <v>64</v>
      </c>
      <c r="Q396" s="44">
        <v>0</v>
      </c>
      <c r="R396" s="44">
        <v>1</v>
      </c>
      <c r="S396" s="44" t="s">
        <v>1068</v>
      </c>
      <c r="T396" s="44" t="s">
        <v>1068</v>
      </c>
      <c r="U396" s="44"/>
      <c r="V396" s="44"/>
      <c r="W396" s="44" t="s">
        <v>2436</v>
      </c>
      <c r="X396" s="48" t="s">
        <v>2437</v>
      </c>
      <c r="Y396" s="44" t="s">
        <v>2438</v>
      </c>
    </row>
    <row r="397" spans="1:25" x14ac:dyDescent="0.25">
      <c r="A397" s="44" t="s">
        <v>2195</v>
      </c>
      <c r="B397" s="44" t="s">
        <v>227</v>
      </c>
      <c r="C397" s="44" t="s">
        <v>2106</v>
      </c>
      <c r="D397" s="44" t="s">
        <v>144</v>
      </c>
      <c r="E397" s="44" t="s">
        <v>134</v>
      </c>
      <c r="F397" s="44">
        <v>10</v>
      </c>
      <c r="G397" s="44" t="s">
        <v>108</v>
      </c>
      <c r="H397" s="44" t="s">
        <v>120</v>
      </c>
      <c r="I397" s="44" t="s">
        <v>638</v>
      </c>
      <c r="J397" s="44">
        <v>63</v>
      </c>
      <c r="K397" s="44">
        <v>2</v>
      </c>
      <c r="L397" s="45">
        <v>2118</v>
      </c>
      <c r="M397" s="44">
        <v>6817</v>
      </c>
      <c r="N397" s="46">
        <f t="shared" si="12"/>
        <v>9.5349860642511362E-3</v>
      </c>
      <c r="O397" s="47">
        <f t="shared" si="13"/>
        <v>0.31069385360129087</v>
      </c>
      <c r="P397" s="44">
        <v>64</v>
      </c>
      <c r="Q397" s="44">
        <v>0</v>
      </c>
      <c r="R397" s="44">
        <v>0</v>
      </c>
      <c r="S397" s="44" t="s">
        <v>1068</v>
      </c>
      <c r="T397" s="44" t="s">
        <v>1068</v>
      </c>
      <c r="U397" s="44"/>
      <c r="V397" s="44"/>
      <c r="W397" s="44" t="s">
        <v>2439</v>
      </c>
      <c r="X397" s="48" t="s">
        <v>2440</v>
      </c>
      <c r="Y397" s="44" t="s">
        <v>2441</v>
      </c>
    </row>
    <row r="398" spans="1:25" x14ac:dyDescent="0.25">
      <c r="A398" s="44" t="s">
        <v>2195</v>
      </c>
      <c r="B398" s="44" t="s">
        <v>227</v>
      </c>
      <c r="C398" s="44" t="s">
        <v>1681</v>
      </c>
      <c r="D398" s="44" t="s">
        <v>143</v>
      </c>
      <c r="E398" s="44" t="s">
        <v>132</v>
      </c>
      <c r="F398" s="44">
        <v>10</v>
      </c>
      <c r="G398" s="44" t="s">
        <v>108</v>
      </c>
      <c r="H398" s="44" t="s">
        <v>121</v>
      </c>
      <c r="I398" s="44" t="s">
        <v>629</v>
      </c>
      <c r="J398" s="44">
        <v>23</v>
      </c>
      <c r="K398" s="44">
        <v>0</v>
      </c>
      <c r="L398" s="45">
        <v>929</v>
      </c>
      <c r="M398" s="44">
        <v>6817</v>
      </c>
      <c r="N398" s="46">
        <f t="shared" si="12"/>
        <v>3.3739181458119407E-3</v>
      </c>
      <c r="O398" s="47">
        <f t="shared" si="13"/>
        <v>0.13627695467214318</v>
      </c>
      <c r="P398" s="44">
        <v>35</v>
      </c>
      <c r="Q398" s="44">
        <v>0</v>
      </c>
      <c r="R398" s="44">
        <v>0</v>
      </c>
      <c r="S398" s="44" t="s">
        <v>1068</v>
      </c>
      <c r="T398" s="44" t="s">
        <v>1068</v>
      </c>
      <c r="U398" s="44"/>
      <c r="V398" s="44"/>
      <c r="W398" s="44" t="s">
        <v>2442</v>
      </c>
      <c r="X398" s="48" t="s">
        <v>2443</v>
      </c>
      <c r="Y398" s="44" t="s">
        <v>2444</v>
      </c>
    </row>
    <row r="399" spans="1:25" x14ac:dyDescent="0.25">
      <c r="A399" s="44" t="s">
        <v>2195</v>
      </c>
      <c r="B399" s="44" t="s">
        <v>227</v>
      </c>
      <c r="C399" s="44" t="s">
        <v>2445</v>
      </c>
      <c r="D399" s="44" t="s">
        <v>143</v>
      </c>
      <c r="E399" s="44" t="s">
        <v>130</v>
      </c>
      <c r="F399" s="44">
        <v>10</v>
      </c>
      <c r="G399" s="44" t="s">
        <v>108</v>
      </c>
      <c r="H399" s="44" t="s">
        <v>120</v>
      </c>
      <c r="I399" s="44" t="s">
        <v>629</v>
      </c>
      <c r="J399" s="44">
        <v>141</v>
      </c>
      <c r="K399" s="44">
        <v>20</v>
      </c>
      <c r="L399" s="45">
        <v>3622</v>
      </c>
      <c r="M399" s="44">
        <v>6817</v>
      </c>
      <c r="N399" s="46">
        <f t="shared" si="12"/>
        <v>2.3617427020683587E-2</v>
      </c>
      <c r="O399" s="47">
        <f t="shared" si="13"/>
        <v>0.53131876191873262</v>
      </c>
      <c r="P399" s="44">
        <v>75</v>
      </c>
      <c r="Q399" s="44">
        <v>0</v>
      </c>
      <c r="R399" s="44">
        <v>0</v>
      </c>
      <c r="S399" s="44" t="s">
        <v>1067</v>
      </c>
      <c r="T399" s="44" t="s">
        <v>1068</v>
      </c>
      <c r="U399" s="44"/>
      <c r="V399" s="44"/>
      <c r="W399" s="44" t="s">
        <v>2446</v>
      </c>
      <c r="X399" s="48" t="s">
        <v>2447</v>
      </c>
      <c r="Y399" s="44" t="s">
        <v>2448</v>
      </c>
    </row>
    <row r="400" spans="1:25" x14ac:dyDescent="0.25">
      <c r="A400" s="44" t="s">
        <v>2195</v>
      </c>
      <c r="B400" s="44" t="s">
        <v>227</v>
      </c>
      <c r="C400" s="44" t="s">
        <v>2113</v>
      </c>
      <c r="D400" s="44" t="s">
        <v>143</v>
      </c>
      <c r="E400" s="44" t="s">
        <v>128</v>
      </c>
      <c r="F400" s="44">
        <v>10</v>
      </c>
      <c r="G400" s="44" t="s">
        <v>111</v>
      </c>
      <c r="H400" s="44" t="s">
        <v>121</v>
      </c>
      <c r="I400" s="44" t="s">
        <v>656</v>
      </c>
      <c r="J400" s="44">
        <v>63</v>
      </c>
      <c r="K400" s="44">
        <v>0</v>
      </c>
      <c r="L400" s="45"/>
      <c r="M400" s="44">
        <v>6817</v>
      </c>
      <c r="N400" s="46">
        <f t="shared" si="12"/>
        <v>9.2416018776587949E-3</v>
      </c>
      <c r="O400" s="47" t="str">
        <f t="shared" si="13"/>
        <v/>
      </c>
      <c r="P400" s="44">
        <v>116</v>
      </c>
      <c r="Q400" s="44">
        <v>0</v>
      </c>
      <c r="R400" s="44">
        <v>0</v>
      </c>
      <c r="S400" s="44" t="s">
        <v>1067</v>
      </c>
      <c r="T400" s="44" t="s">
        <v>1068</v>
      </c>
      <c r="U400" s="44"/>
      <c r="V400" s="44" t="s">
        <v>2449</v>
      </c>
      <c r="W400" s="44" t="s">
        <v>2450</v>
      </c>
      <c r="X400" s="48" t="s">
        <v>2451</v>
      </c>
      <c r="Y400" s="44" t="s">
        <v>2452</v>
      </c>
    </row>
    <row r="401" spans="1:25" x14ac:dyDescent="0.25">
      <c r="A401" s="44" t="s">
        <v>2195</v>
      </c>
      <c r="B401" s="44" t="s">
        <v>227</v>
      </c>
      <c r="C401" s="44" t="s">
        <v>1338</v>
      </c>
      <c r="D401" s="44" t="s">
        <v>143</v>
      </c>
      <c r="E401" s="44" t="s">
        <v>126</v>
      </c>
      <c r="F401" s="44">
        <v>10</v>
      </c>
      <c r="G401" s="44" t="s">
        <v>111</v>
      </c>
      <c r="H401" s="44" t="s">
        <v>122</v>
      </c>
      <c r="I401" s="44" t="s">
        <v>656</v>
      </c>
      <c r="J401" s="44">
        <v>12</v>
      </c>
      <c r="K401" s="44">
        <v>0</v>
      </c>
      <c r="L401" s="45"/>
      <c r="M401" s="44">
        <v>6817</v>
      </c>
      <c r="N401" s="46">
        <f t="shared" si="12"/>
        <v>1.7603051195540561E-3</v>
      </c>
      <c r="O401" s="47" t="str">
        <f t="shared" si="13"/>
        <v/>
      </c>
      <c r="P401" s="44">
        <v>47</v>
      </c>
      <c r="Q401" s="44">
        <v>0</v>
      </c>
      <c r="R401" s="44">
        <v>0</v>
      </c>
      <c r="S401" s="44" t="s">
        <v>1068</v>
      </c>
      <c r="T401" s="44" t="s">
        <v>1068</v>
      </c>
      <c r="U401" s="44"/>
      <c r="V401" s="44"/>
      <c r="W401" s="44" t="s">
        <v>2453</v>
      </c>
      <c r="X401" s="48" t="s">
        <v>2454</v>
      </c>
      <c r="Y401" s="44" t="s">
        <v>2455</v>
      </c>
    </row>
    <row r="402" spans="1:25" x14ac:dyDescent="0.25">
      <c r="A402" s="44" t="s">
        <v>2195</v>
      </c>
      <c r="B402" s="44" t="s">
        <v>227</v>
      </c>
      <c r="C402" s="44" t="s">
        <v>1691</v>
      </c>
      <c r="D402" s="44" t="s">
        <v>143</v>
      </c>
      <c r="E402" s="44" t="s">
        <v>132</v>
      </c>
      <c r="F402" s="44">
        <v>10</v>
      </c>
      <c r="G402" s="44" t="s">
        <v>108</v>
      </c>
      <c r="H402" s="44" t="s">
        <v>121</v>
      </c>
      <c r="I402" s="44" t="s">
        <v>656</v>
      </c>
      <c r="J402" s="44">
        <v>15</v>
      </c>
      <c r="K402" s="44">
        <v>0</v>
      </c>
      <c r="L402" s="45">
        <v>965</v>
      </c>
      <c r="M402" s="44">
        <v>6817</v>
      </c>
      <c r="N402" s="46">
        <f t="shared" si="12"/>
        <v>2.2003813994425701E-3</v>
      </c>
      <c r="O402" s="47">
        <f t="shared" si="13"/>
        <v>0.14155787003080533</v>
      </c>
      <c r="P402" s="44">
        <v>51</v>
      </c>
      <c r="Q402" s="44">
        <v>0</v>
      </c>
      <c r="R402" s="44">
        <v>0</v>
      </c>
      <c r="S402" s="44" t="s">
        <v>1068</v>
      </c>
      <c r="T402" s="44" t="s">
        <v>1067</v>
      </c>
      <c r="U402" s="44"/>
      <c r="V402" s="44"/>
      <c r="W402" s="44" t="s">
        <v>2456</v>
      </c>
      <c r="X402" s="48" t="s">
        <v>2457</v>
      </c>
      <c r="Y402" s="44" t="s">
        <v>2458</v>
      </c>
    </row>
    <row r="403" spans="1:25" x14ac:dyDescent="0.25">
      <c r="A403" s="44" t="s">
        <v>2195</v>
      </c>
      <c r="B403" s="44" t="s">
        <v>227</v>
      </c>
      <c r="C403" s="44" t="s">
        <v>1342</v>
      </c>
      <c r="D403" s="44" t="s">
        <v>143</v>
      </c>
      <c r="E403" s="44" t="s">
        <v>130</v>
      </c>
      <c r="F403" s="44">
        <v>12</v>
      </c>
      <c r="G403" s="44" t="s">
        <v>109</v>
      </c>
      <c r="H403" s="44" t="s">
        <v>117</v>
      </c>
      <c r="I403" s="44" t="s">
        <v>656</v>
      </c>
      <c r="J403" s="44">
        <v>104</v>
      </c>
      <c r="K403" s="44">
        <v>8</v>
      </c>
      <c r="L403" s="45"/>
      <c r="M403" s="44">
        <v>6817</v>
      </c>
      <c r="N403" s="46">
        <f t="shared" si="12"/>
        <v>1.6429514449171189E-2</v>
      </c>
      <c r="O403" s="47" t="str">
        <f t="shared" si="13"/>
        <v/>
      </c>
      <c r="P403" s="44">
        <v>112</v>
      </c>
      <c r="Q403" s="44">
        <v>0</v>
      </c>
      <c r="R403" s="44">
        <v>0</v>
      </c>
      <c r="S403" s="44" t="s">
        <v>1068</v>
      </c>
      <c r="T403" s="44" t="s">
        <v>1068</v>
      </c>
      <c r="U403" s="44"/>
      <c r="V403" s="44" t="s">
        <v>2459</v>
      </c>
      <c r="W403" s="44" t="s">
        <v>2460</v>
      </c>
      <c r="X403" s="48" t="s">
        <v>2461</v>
      </c>
      <c r="Y403" s="44" t="s">
        <v>2462</v>
      </c>
    </row>
    <row r="404" spans="1:25" x14ac:dyDescent="0.25">
      <c r="A404" s="44" t="s">
        <v>2195</v>
      </c>
      <c r="B404" s="44" t="s">
        <v>227</v>
      </c>
      <c r="C404" s="44" t="s">
        <v>1695</v>
      </c>
      <c r="D404" s="44" t="s">
        <v>143</v>
      </c>
      <c r="E404" s="44" t="s">
        <v>128</v>
      </c>
      <c r="F404" s="44">
        <v>10</v>
      </c>
      <c r="G404" s="44" t="s">
        <v>108</v>
      </c>
      <c r="H404" s="44" t="s">
        <v>121</v>
      </c>
      <c r="I404" s="44" t="s">
        <v>656</v>
      </c>
      <c r="J404" s="44">
        <v>26</v>
      </c>
      <c r="K404" s="44">
        <v>2</v>
      </c>
      <c r="L404" s="45">
        <v>1245</v>
      </c>
      <c r="M404" s="44">
        <v>6817</v>
      </c>
      <c r="N404" s="46">
        <f t="shared" si="12"/>
        <v>4.1073786122927973E-3</v>
      </c>
      <c r="O404" s="47">
        <f t="shared" si="13"/>
        <v>0.18263165615373331</v>
      </c>
      <c r="P404" s="44">
        <v>53</v>
      </c>
      <c r="Q404" s="44">
        <v>0</v>
      </c>
      <c r="R404" s="44">
        <v>0</v>
      </c>
      <c r="S404" s="44" t="s">
        <v>1068</v>
      </c>
      <c r="T404" s="44" t="s">
        <v>1067</v>
      </c>
      <c r="U404" s="44"/>
      <c r="V404" s="44"/>
      <c r="W404" s="44" t="s">
        <v>2463</v>
      </c>
      <c r="X404" s="48" t="s">
        <v>2464</v>
      </c>
      <c r="Y404" s="44" t="s">
        <v>2465</v>
      </c>
    </row>
    <row r="405" spans="1:25" x14ac:dyDescent="0.25">
      <c r="A405" s="44" t="s">
        <v>2195</v>
      </c>
      <c r="B405" s="44" t="s">
        <v>227</v>
      </c>
      <c r="C405" s="44" t="s">
        <v>2126</v>
      </c>
      <c r="D405" s="44" t="s">
        <v>143</v>
      </c>
      <c r="E405" s="44" t="s">
        <v>132</v>
      </c>
      <c r="F405" s="44">
        <v>10</v>
      </c>
      <c r="G405" s="44" t="s">
        <v>108</v>
      </c>
      <c r="H405" s="44" t="s">
        <v>122</v>
      </c>
      <c r="I405" s="44" t="s">
        <v>656</v>
      </c>
      <c r="J405" s="44">
        <v>21</v>
      </c>
      <c r="K405" s="44">
        <v>2</v>
      </c>
      <c r="L405" s="45">
        <v>1067</v>
      </c>
      <c r="M405" s="44">
        <v>6817</v>
      </c>
      <c r="N405" s="46">
        <f t="shared" si="12"/>
        <v>3.3739181458119407E-3</v>
      </c>
      <c r="O405" s="47">
        <f t="shared" si="13"/>
        <v>0.15652046354701482</v>
      </c>
      <c r="P405" s="44">
        <v>47</v>
      </c>
      <c r="Q405" s="44">
        <v>0</v>
      </c>
      <c r="R405" s="44">
        <v>0</v>
      </c>
      <c r="S405" s="44" t="s">
        <v>1068</v>
      </c>
      <c r="T405" s="44" t="s">
        <v>1068</v>
      </c>
      <c r="U405" s="44"/>
      <c r="V405" s="44"/>
      <c r="W405" s="44" t="s">
        <v>2466</v>
      </c>
      <c r="X405" s="48" t="s">
        <v>2467</v>
      </c>
      <c r="Y405" s="44" t="s">
        <v>2468</v>
      </c>
    </row>
    <row r="406" spans="1:25" x14ac:dyDescent="0.25">
      <c r="A406" s="44" t="s">
        <v>2195</v>
      </c>
      <c r="B406" s="44" t="s">
        <v>227</v>
      </c>
      <c r="C406" s="44" t="s">
        <v>1354</v>
      </c>
      <c r="D406" s="44" t="s">
        <v>143</v>
      </c>
      <c r="E406" s="44" t="s">
        <v>130</v>
      </c>
      <c r="F406" s="44">
        <v>10</v>
      </c>
      <c r="G406" s="44" t="s">
        <v>111</v>
      </c>
      <c r="H406" s="44" t="s">
        <v>115</v>
      </c>
      <c r="I406" s="44" t="s">
        <v>656</v>
      </c>
      <c r="J406" s="44">
        <v>85</v>
      </c>
      <c r="K406" s="44">
        <v>4</v>
      </c>
      <c r="L406" s="45"/>
      <c r="M406" s="44">
        <v>6817</v>
      </c>
      <c r="N406" s="46">
        <f t="shared" si="12"/>
        <v>1.3055596303359248E-2</v>
      </c>
      <c r="O406" s="47" t="str">
        <f t="shared" si="13"/>
        <v/>
      </c>
      <c r="P406" s="44">
        <v>280</v>
      </c>
      <c r="Q406" s="44">
        <v>0</v>
      </c>
      <c r="R406" s="44">
        <v>0</v>
      </c>
      <c r="S406" s="44" t="s">
        <v>1068</v>
      </c>
      <c r="T406" s="44" t="s">
        <v>1068</v>
      </c>
      <c r="U406" s="44"/>
      <c r="V406" s="44" t="s">
        <v>2401</v>
      </c>
      <c r="W406" s="44" t="s">
        <v>2469</v>
      </c>
      <c r="X406" s="48" t="s">
        <v>2470</v>
      </c>
      <c r="Y406" s="44" t="s">
        <v>2471</v>
      </c>
    </row>
    <row r="407" spans="1:25" x14ac:dyDescent="0.25">
      <c r="A407" s="44" t="s">
        <v>2195</v>
      </c>
      <c r="B407" s="44" t="s">
        <v>227</v>
      </c>
      <c r="C407" s="44" t="s">
        <v>2472</v>
      </c>
      <c r="D407" s="44" t="s">
        <v>143</v>
      </c>
      <c r="E407" s="44" t="s">
        <v>128</v>
      </c>
      <c r="F407" s="44">
        <v>10</v>
      </c>
      <c r="G407" s="44" t="s">
        <v>108</v>
      </c>
      <c r="H407" s="44" t="s">
        <v>121</v>
      </c>
      <c r="I407" s="44" t="s">
        <v>656</v>
      </c>
      <c r="J407" s="44">
        <v>38</v>
      </c>
      <c r="K407" s="44">
        <v>5</v>
      </c>
      <c r="L407" s="45">
        <v>1582</v>
      </c>
      <c r="M407" s="44">
        <v>6817</v>
      </c>
      <c r="N407" s="46">
        <f t="shared" si="12"/>
        <v>6.3077600117353678E-3</v>
      </c>
      <c r="O407" s="47">
        <f t="shared" si="13"/>
        <v>0.23206689159454305</v>
      </c>
      <c r="P407" s="44">
        <v>71</v>
      </c>
      <c r="Q407" s="44">
        <v>0</v>
      </c>
      <c r="R407" s="44">
        <v>0</v>
      </c>
      <c r="S407" s="44" t="s">
        <v>1068</v>
      </c>
      <c r="T407" s="44" t="s">
        <v>1067</v>
      </c>
      <c r="U407" s="44"/>
      <c r="V407" s="44"/>
      <c r="W407" s="44" t="s">
        <v>2473</v>
      </c>
      <c r="X407" s="48" t="s">
        <v>2474</v>
      </c>
      <c r="Y407" s="44" t="s">
        <v>2475</v>
      </c>
    </row>
    <row r="408" spans="1:25" x14ac:dyDescent="0.25">
      <c r="A408" s="44" t="s">
        <v>2195</v>
      </c>
      <c r="B408" s="44" t="s">
        <v>227</v>
      </c>
      <c r="C408" s="44" t="s">
        <v>1362</v>
      </c>
      <c r="D408" s="44" t="s">
        <v>143</v>
      </c>
      <c r="E408" s="44" t="s">
        <v>134</v>
      </c>
      <c r="F408" s="44">
        <v>17</v>
      </c>
      <c r="G408" s="44" t="s">
        <v>111</v>
      </c>
      <c r="H408" s="44" t="s">
        <v>117</v>
      </c>
      <c r="I408" s="44" t="s">
        <v>629</v>
      </c>
      <c r="J408" s="44">
        <v>44</v>
      </c>
      <c r="K408" s="44">
        <v>0</v>
      </c>
      <c r="L408" s="45"/>
      <c r="M408" s="44">
        <v>6817</v>
      </c>
      <c r="N408" s="46">
        <f t="shared" si="12"/>
        <v>6.4544521050315384E-3</v>
      </c>
      <c r="O408" s="47" t="str">
        <f t="shared" si="13"/>
        <v/>
      </c>
      <c r="P408" s="44">
        <v>54</v>
      </c>
      <c r="Q408" s="44">
        <v>3</v>
      </c>
      <c r="R408" s="44">
        <v>3</v>
      </c>
      <c r="S408" s="44" t="s">
        <v>1068</v>
      </c>
      <c r="T408" s="44" t="s">
        <v>1068</v>
      </c>
      <c r="U408" s="44" t="s">
        <v>2476</v>
      </c>
      <c r="V408" s="44" t="s">
        <v>2195</v>
      </c>
      <c r="W408" s="44" t="s">
        <v>2477</v>
      </c>
      <c r="X408" s="48" t="s">
        <v>2478</v>
      </c>
      <c r="Y408" s="44" t="s">
        <v>2479</v>
      </c>
    </row>
    <row r="409" spans="1:25" x14ac:dyDescent="0.25">
      <c r="A409" s="44" t="s">
        <v>2195</v>
      </c>
      <c r="B409" s="44" t="s">
        <v>227</v>
      </c>
      <c r="C409" s="44" t="s">
        <v>2139</v>
      </c>
      <c r="D409" s="44" t="s">
        <v>143</v>
      </c>
      <c r="E409" s="44" t="s">
        <v>132</v>
      </c>
      <c r="F409" s="44">
        <v>10</v>
      </c>
      <c r="G409" s="44" t="s">
        <v>108</v>
      </c>
      <c r="H409" s="44" t="s">
        <v>119</v>
      </c>
      <c r="I409" s="44" t="s">
        <v>656</v>
      </c>
      <c r="J409" s="44">
        <v>31</v>
      </c>
      <c r="K409" s="44">
        <v>0</v>
      </c>
      <c r="L409" s="45">
        <v>1536</v>
      </c>
      <c r="M409" s="44">
        <v>6817</v>
      </c>
      <c r="N409" s="46">
        <f t="shared" si="12"/>
        <v>4.5474548921813117E-3</v>
      </c>
      <c r="O409" s="47">
        <f t="shared" si="13"/>
        <v>0.22531905530291918</v>
      </c>
      <c r="P409" s="44">
        <v>75</v>
      </c>
      <c r="Q409" s="44">
        <v>0</v>
      </c>
      <c r="R409" s="44">
        <v>0</v>
      </c>
      <c r="S409" s="44" t="s">
        <v>1068</v>
      </c>
      <c r="T409" s="44" t="s">
        <v>1068</v>
      </c>
      <c r="U409" s="44"/>
      <c r="V409" s="44"/>
      <c r="W409" s="44" t="s">
        <v>2480</v>
      </c>
      <c r="X409" s="48" t="s">
        <v>2481</v>
      </c>
      <c r="Y409" s="44" t="s">
        <v>2482</v>
      </c>
    </row>
    <row r="410" spans="1:25" x14ac:dyDescent="0.25">
      <c r="A410" s="44" t="s">
        <v>2195</v>
      </c>
      <c r="B410" s="44" t="s">
        <v>227</v>
      </c>
      <c r="C410" s="44" t="s">
        <v>1366</v>
      </c>
      <c r="D410" s="44" t="s">
        <v>143</v>
      </c>
      <c r="E410" s="44" t="s">
        <v>130</v>
      </c>
      <c r="F410" s="44">
        <v>10</v>
      </c>
      <c r="G410" s="44" t="s">
        <v>108</v>
      </c>
      <c r="H410" s="44" t="s">
        <v>122</v>
      </c>
      <c r="I410" s="44" t="s">
        <v>656</v>
      </c>
      <c r="J410" s="44">
        <v>101</v>
      </c>
      <c r="K410" s="44">
        <v>2</v>
      </c>
      <c r="L410" s="45">
        <v>2955</v>
      </c>
      <c r="M410" s="44">
        <v>6817</v>
      </c>
      <c r="N410" s="46">
        <f t="shared" si="12"/>
        <v>1.5109285609505647E-2</v>
      </c>
      <c r="O410" s="47">
        <f t="shared" si="13"/>
        <v>0.43347513569018631</v>
      </c>
      <c r="P410" s="44">
        <v>27</v>
      </c>
      <c r="Q410" s="44">
        <v>0</v>
      </c>
      <c r="R410" s="44">
        <v>0</v>
      </c>
      <c r="S410" s="44" t="s">
        <v>1068</v>
      </c>
      <c r="T410" s="44" t="s">
        <v>1068</v>
      </c>
      <c r="U410" s="44"/>
      <c r="V410" s="44"/>
      <c r="W410" s="44" t="s">
        <v>2483</v>
      </c>
      <c r="X410" s="48" t="s">
        <v>2484</v>
      </c>
      <c r="Y410" s="44" t="s">
        <v>2485</v>
      </c>
    </row>
    <row r="411" spans="1:25" x14ac:dyDescent="0.25">
      <c r="A411" s="44" t="s">
        <v>2195</v>
      </c>
      <c r="B411" s="44" t="s">
        <v>227</v>
      </c>
      <c r="C411" s="44" t="s">
        <v>2146</v>
      </c>
      <c r="D411" s="44" t="s">
        <v>143</v>
      </c>
      <c r="E411" s="44" t="s">
        <v>128</v>
      </c>
      <c r="F411" s="44">
        <v>10</v>
      </c>
      <c r="G411" s="44" t="s">
        <v>108</v>
      </c>
      <c r="H411" s="44" t="s">
        <v>121</v>
      </c>
      <c r="I411" s="44" t="s">
        <v>656</v>
      </c>
      <c r="J411" s="44">
        <v>36</v>
      </c>
      <c r="K411" s="44">
        <v>8</v>
      </c>
      <c r="L411" s="45">
        <v>2048</v>
      </c>
      <c r="M411" s="44">
        <v>6817</v>
      </c>
      <c r="N411" s="46">
        <f t="shared" si="12"/>
        <v>6.4544521050315384E-3</v>
      </c>
      <c r="O411" s="47">
        <f t="shared" si="13"/>
        <v>0.30042540707055887</v>
      </c>
      <c r="P411" s="44">
        <v>72</v>
      </c>
      <c r="Q411" s="44">
        <v>0</v>
      </c>
      <c r="R411" s="44">
        <v>0</v>
      </c>
      <c r="S411" s="44" t="s">
        <v>1068</v>
      </c>
      <c r="T411" s="44" t="s">
        <v>1067</v>
      </c>
      <c r="U411" s="44"/>
      <c r="V411" s="44"/>
      <c r="W411" s="44" t="s">
        <v>2486</v>
      </c>
      <c r="X411" s="48" t="s">
        <v>2487</v>
      </c>
      <c r="Y411" s="44" t="s">
        <v>2488</v>
      </c>
    </row>
    <row r="412" spans="1:25" x14ac:dyDescent="0.25">
      <c r="A412" s="44" t="s">
        <v>2195</v>
      </c>
      <c r="B412" s="44" t="s">
        <v>227</v>
      </c>
      <c r="C412" s="44" t="s">
        <v>1370</v>
      </c>
      <c r="D412" s="44" t="s">
        <v>143</v>
      </c>
      <c r="E412" s="44" t="s">
        <v>126</v>
      </c>
      <c r="F412" s="44">
        <v>10</v>
      </c>
      <c r="G412" s="44" t="s">
        <v>109</v>
      </c>
      <c r="H412" s="44" t="s">
        <v>117</v>
      </c>
      <c r="I412" s="44" t="s">
        <v>656</v>
      </c>
      <c r="J412" s="44">
        <v>81</v>
      </c>
      <c r="K412" s="44">
        <v>3</v>
      </c>
      <c r="L412" s="45"/>
      <c r="M412" s="44">
        <v>6817</v>
      </c>
      <c r="N412" s="46">
        <f t="shared" si="12"/>
        <v>1.2322135836878393E-2</v>
      </c>
      <c r="O412" s="47" t="str">
        <f t="shared" si="13"/>
        <v/>
      </c>
      <c r="P412" s="44">
        <v>175</v>
      </c>
      <c r="Q412" s="44">
        <v>0</v>
      </c>
      <c r="R412" s="44">
        <v>5</v>
      </c>
      <c r="S412" s="44" t="s">
        <v>1068</v>
      </c>
      <c r="T412" s="44" t="s">
        <v>1068</v>
      </c>
      <c r="U412" s="44"/>
      <c r="V412" s="44"/>
      <c r="W412" s="44" t="s">
        <v>2489</v>
      </c>
      <c r="X412" s="48" t="s">
        <v>2490</v>
      </c>
      <c r="Y412" s="44" t="s">
        <v>2491</v>
      </c>
    </row>
    <row r="413" spans="1:25" x14ac:dyDescent="0.25">
      <c r="A413" s="44" t="s">
        <v>2195</v>
      </c>
      <c r="B413" s="44" t="s">
        <v>227</v>
      </c>
      <c r="C413" s="44" t="s">
        <v>2492</v>
      </c>
      <c r="D413" s="44" t="s">
        <v>143</v>
      </c>
      <c r="E413" s="44" t="s">
        <v>134</v>
      </c>
      <c r="F413" s="44">
        <v>10</v>
      </c>
      <c r="G413" s="44" t="s">
        <v>108</v>
      </c>
      <c r="H413" s="44" t="s">
        <v>121</v>
      </c>
      <c r="I413" s="44" t="s">
        <v>656</v>
      </c>
      <c r="J413" s="44">
        <v>49</v>
      </c>
      <c r="K413" s="44">
        <v>1</v>
      </c>
      <c r="L413" s="45">
        <v>2324</v>
      </c>
      <c r="M413" s="44">
        <v>6817</v>
      </c>
      <c r="N413" s="46">
        <f t="shared" si="12"/>
        <v>7.3346046648085665E-3</v>
      </c>
      <c r="O413" s="47">
        <f t="shared" si="13"/>
        <v>0.34091242482030221</v>
      </c>
      <c r="P413" s="44">
        <v>96</v>
      </c>
      <c r="Q413" s="44">
        <v>0</v>
      </c>
      <c r="R413" s="44">
        <v>0</v>
      </c>
      <c r="S413" s="44" t="s">
        <v>1067</v>
      </c>
      <c r="T413" s="44" t="s">
        <v>1067</v>
      </c>
      <c r="U413" s="44"/>
      <c r="V413" s="44"/>
      <c r="W413" s="44" t="s">
        <v>2493</v>
      </c>
      <c r="X413" s="48" t="s">
        <v>2494</v>
      </c>
      <c r="Y413" s="44" t="s">
        <v>2495</v>
      </c>
    </row>
    <row r="414" spans="1:25" x14ac:dyDescent="0.25">
      <c r="A414" s="44" t="s">
        <v>2195</v>
      </c>
      <c r="B414" s="44" t="s">
        <v>227</v>
      </c>
      <c r="C414" s="44" t="s">
        <v>1378</v>
      </c>
      <c r="D414" s="44" t="s">
        <v>143</v>
      </c>
      <c r="E414" s="44" t="s">
        <v>130</v>
      </c>
      <c r="F414" s="44">
        <v>10</v>
      </c>
      <c r="G414" s="44" t="s">
        <v>108</v>
      </c>
      <c r="H414" s="44" t="s">
        <v>119</v>
      </c>
      <c r="I414" s="44" t="s">
        <v>656</v>
      </c>
      <c r="J414" s="44">
        <v>95</v>
      </c>
      <c r="K414" s="44">
        <v>12</v>
      </c>
      <c r="L414" s="45">
        <v>2906</v>
      </c>
      <c r="M414" s="44">
        <v>6817</v>
      </c>
      <c r="N414" s="46">
        <f t="shared" si="12"/>
        <v>1.5696053982690333E-2</v>
      </c>
      <c r="O414" s="47">
        <f t="shared" si="13"/>
        <v>0.4262872231186739</v>
      </c>
      <c r="P414" s="44">
        <v>71</v>
      </c>
      <c r="Q414" s="44">
        <v>0</v>
      </c>
      <c r="R414" s="44">
        <v>0</v>
      </c>
      <c r="S414" s="44" t="s">
        <v>1068</v>
      </c>
      <c r="T414" s="44" t="s">
        <v>1068</v>
      </c>
      <c r="U414" s="44"/>
      <c r="V414" s="44"/>
      <c r="W414" s="44" t="s">
        <v>2496</v>
      </c>
      <c r="X414" s="48" t="s">
        <v>2497</v>
      </c>
      <c r="Y414" s="44" t="s">
        <v>2498</v>
      </c>
    </row>
    <row r="415" spans="1:25" x14ac:dyDescent="0.25">
      <c r="A415" s="44" t="s">
        <v>2195</v>
      </c>
      <c r="B415" s="44" t="s">
        <v>227</v>
      </c>
      <c r="C415" s="44" t="s">
        <v>2153</v>
      </c>
      <c r="D415" s="44" t="s">
        <v>142</v>
      </c>
      <c r="E415" s="44" t="s">
        <v>128</v>
      </c>
      <c r="F415" s="44">
        <v>10</v>
      </c>
      <c r="G415" s="44" t="s">
        <v>111</v>
      </c>
      <c r="H415" s="44" t="s">
        <v>119</v>
      </c>
      <c r="I415" s="44" t="s">
        <v>656</v>
      </c>
      <c r="J415" s="44">
        <v>27</v>
      </c>
      <c r="K415" s="44">
        <v>0</v>
      </c>
      <c r="L415" s="45"/>
      <c r="M415" s="44">
        <v>6817</v>
      </c>
      <c r="N415" s="46">
        <f t="shared" si="12"/>
        <v>3.9606865189966258E-3</v>
      </c>
      <c r="O415" s="47" t="str">
        <f t="shared" si="13"/>
        <v/>
      </c>
      <c r="P415" s="44">
        <v>92</v>
      </c>
      <c r="Q415" s="44">
        <v>1</v>
      </c>
      <c r="R415" s="44">
        <v>0</v>
      </c>
      <c r="S415" s="44" t="s">
        <v>1068</v>
      </c>
      <c r="T415" s="44" t="s">
        <v>1068</v>
      </c>
      <c r="U415" s="44"/>
      <c r="V415" s="44"/>
      <c r="W415" s="44" t="s">
        <v>2499</v>
      </c>
      <c r="X415" s="48" t="s">
        <v>2500</v>
      </c>
      <c r="Y415" s="44" t="s">
        <v>2501</v>
      </c>
    </row>
    <row r="416" spans="1:25" x14ac:dyDescent="0.25">
      <c r="A416" s="44" t="s">
        <v>2195</v>
      </c>
      <c r="B416" s="44" t="s">
        <v>227</v>
      </c>
      <c r="C416" s="44" t="s">
        <v>1383</v>
      </c>
      <c r="D416" s="44" t="s">
        <v>142</v>
      </c>
      <c r="E416" s="44" t="s">
        <v>126</v>
      </c>
      <c r="F416" s="44">
        <v>11</v>
      </c>
      <c r="G416" s="44" t="s">
        <v>109</v>
      </c>
      <c r="H416" s="44" t="s">
        <v>119</v>
      </c>
      <c r="I416" s="44" t="s">
        <v>656</v>
      </c>
      <c r="J416" s="44">
        <v>87</v>
      </c>
      <c r="K416" s="44">
        <v>1</v>
      </c>
      <c r="L416" s="45"/>
      <c r="M416" s="44">
        <v>6817</v>
      </c>
      <c r="N416" s="46">
        <f t="shared" si="12"/>
        <v>1.2908904210063077E-2</v>
      </c>
      <c r="O416" s="47" t="str">
        <f t="shared" si="13"/>
        <v/>
      </c>
      <c r="P416" s="44">
        <v>92</v>
      </c>
      <c r="Q416" s="44">
        <v>0</v>
      </c>
      <c r="R416" s="44">
        <v>0</v>
      </c>
      <c r="S416" s="44" t="s">
        <v>1067</v>
      </c>
      <c r="T416" s="44" t="s">
        <v>1068</v>
      </c>
      <c r="U416" s="44" t="s">
        <v>2502</v>
      </c>
      <c r="V416" s="44" t="s">
        <v>2503</v>
      </c>
      <c r="W416" s="44" t="s">
        <v>2504</v>
      </c>
      <c r="X416" s="48" t="s">
        <v>2505</v>
      </c>
      <c r="Y416" s="44" t="s">
        <v>2506</v>
      </c>
    </row>
    <row r="417" spans="1:25" x14ac:dyDescent="0.25">
      <c r="A417" s="44" t="s">
        <v>2195</v>
      </c>
      <c r="B417" s="44" t="s">
        <v>227</v>
      </c>
      <c r="C417" s="44" t="s">
        <v>2507</v>
      </c>
      <c r="D417" s="44" t="s">
        <v>142</v>
      </c>
      <c r="E417" s="44" t="s">
        <v>137</v>
      </c>
      <c r="F417" s="44">
        <v>10</v>
      </c>
      <c r="G417" s="44" t="s">
        <v>109</v>
      </c>
      <c r="H417" s="44" t="s">
        <v>121</v>
      </c>
      <c r="I417" s="44" t="s">
        <v>656</v>
      </c>
      <c r="J417" s="44">
        <v>100</v>
      </c>
      <c r="K417" s="44">
        <v>1</v>
      </c>
      <c r="L417" s="45"/>
      <c r="M417" s="44">
        <v>6817</v>
      </c>
      <c r="N417" s="46">
        <f t="shared" si="12"/>
        <v>1.4815901422913304E-2</v>
      </c>
      <c r="O417" s="47" t="str">
        <f t="shared" si="13"/>
        <v/>
      </c>
      <c r="P417" s="44">
        <v>89</v>
      </c>
      <c r="Q417" s="44">
        <v>0</v>
      </c>
      <c r="R417" s="44">
        <v>17</v>
      </c>
      <c r="S417" s="44" t="s">
        <v>1068</v>
      </c>
      <c r="T417" s="44" t="s">
        <v>1068</v>
      </c>
      <c r="U417" s="44"/>
      <c r="V417" s="44" t="s">
        <v>2508</v>
      </c>
      <c r="W417" s="44" t="s">
        <v>2509</v>
      </c>
      <c r="X417" s="48" t="s">
        <v>2510</v>
      </c>
      <c r="Y417" s="44" t="s">
        <v>2511</v>
      </c>
    </row>
    <row r="418" spans="1:25" x14ac:dyDescent="0.25">
      <c r="A418" s="44" t="s">
        <v>2195</v>
      </c>
      <c r="B418" s="44" t="s">
        <v>227</v>
      </c>
      <c r="C418" s="44" t="s">
        <v>2512</v>
      </c>
      <c r="D418" s="44" t="s">
        <v>142</v>
      </c>
      <c r="E418" s="44" t="s">
        <v>134</v>
      </c>
      <c r="F418" s="44">
        <v>10</v>
      </c>
      <c r="G418" s="44" t="s">
        <v>108</v>
      </c>
      <c r="H418" s="44" t="s">
        <v>120</v>
      </c>
      <c r="I418" s="44" t="s">
        <v>656</v>
      </c>
      <c r="J418" s="44">
        <v>75</v>
      </c>
      <c r="K418" s="44">
        <v>3</v>
      </c>
      <c r="L418" s="45">
        <v>3008</v>
      </c>
      <c r="M418" s="44">
        <v>6817</v>
      </c>
      <c r="N418" s="46">
        <f t="shared" si="12"/>
        <v>1.1441983277101364E-2</v>
      </c>
      <c r="O418" s="47">
        <f t="shared" si="13"/>
        <v>0.44124981663488339</v>
      </c>
      <c r="P418" s="44">
        <v>113</v>
      </c>
      <c r="Q418" s="44">
        <v>0</v>
      </c>
      <c r="R418" s="44">
        <v>0</v>
      </c>
      <c r="S418" s="44" t="s">
        <v>1067</v>
      </c>
      <c r="T418" s="44" t="s">
        <v>1068</v>
      </c>
      <c r="U418" s="44"/>
      <c r="V418" s="44"/>
      <c r="W418" s="44" t="s">
        <v>2513</v>
      </c>
      <c r="X418" s="48" t="s">
        <v>2514</v>
      </c>
      <c r="Y418" s="44" t="s">
        <v>2515</v>
      </c>
    </row>
    <row r="419" spans="1:25" x14ac:dyDescent="0.25">
      <c r="A419" s="44" t="s">
        <v>2195</v>
      </c>
      <c r="B419" s="44" t="s">
        <v>227</v>
      </c>
      <c r="C419" s="44" t="s">
        <v>1395</v>
      </c>
      <c r="D419" s="44" t="s">
        <v>142</v>
      </c>
      <c r="E419" s="44" t="s">
        <v>130</v>
      </c>
      <c r="F419" s="44">
        <v>10</v>
      </c>
      <c r="G419" s="44" t="s">
        <v>108</v>
      </c>
      <c r="H419" s="44" t="s">
        <v>119</v>
      </c>
      <c r="I419" s="44" t="s">
        <v>656</v>
      </c>
      <c r="J419" s="44">
        <v>48</v>
      </c>
      <c r="K419" s="44">
        <v>2</v>
      </c>
      <c r="L419" s="45">
        <v>1893</v>
      </c>
      <c r="M419" s="44">
        <v>6817</v>
      </c>
      <c r="N419" s="46">
        <f t="shared" si="12"/>
        <v>7.3346046648085665E-3</v>
      </c>
      <c r="O419" s="47">
        <f t="shared" si="13"/>
        <v>0.27768813260965236</v>
      </c>
      <c r="P419" s="44">
        <v>105</v>
      </c>
      <c r="Q419" s="44">
        <v>0</v>
      </c>
      <c r="R419" s="44">
        <v>0</v>
      </c>
      <c r="S419" s="44" t="s">
        <v>1068</v>
      </c>
      <c r="T419" s="44" t="s">
        <v>1068</v>
      </c>
      <c r="U419" s="44"/>
      <c r="V419" s="44"/>
      <c r="W419" s="44" t="s">
        <v>2330</v>
      </c>
      <c r="X419" s="48" t="s">
        <v>2516</v>
      </c>
      <c r="Y419" s="44" t="s">
        <v>2517</v>
      </c>
    </row>
    <row r="420" spans="1:25" x14ac:dyDescent="0.25">
      <c r="A420" s="44" t="s">
        <v>2195</v>
      </c>
      <c r="B420" s="44" t="s">
        <v>227</v>
      </c>
      <c r="C420" s="44" t="s">
        <v>1399</v>
      </c>
      <c r="D420" s="44" t="s">
        <v>142</v>
      </c>
      <c r="E420" s="44" t="s">
        <v>126</v>
      </c>
      <c r="F420" s="44">
        <v>17</v>
      </c>
      <c r="G420" s="44" t="s">
        <v>109</v>
      </c>
      <c r="H420" s="44" t="s">
        <v>115</v>
      </c>
      <c r="I420" s="44" t="s">
        <v>656</v>
      </c>
      <c r="J420" s="44">
        <v>235</v>
      </c>
      <c r="K420" s="44">
        <v>9</v>
      </c>
      <c r="L420" s="45"/>
      <c r="M420" s="44">
        <v>6817</v>
      </c>
      <c r="N420" s="46">
        <f t="shared" si="12"/>
        <v>3.5792870764265808E-2</v>
      </c>
      <c r="O420" s="47" t="str">
        <f t="shared" si="13"/>
        <v/>
      </c>
      <c r="P420" s="44">
        <v>111</v>
      </c>
      <c r="Q420" s="44">
        <v>0</v>
      </c>
      <c r="R420" s="44">
        <v>0</v>
      </c>
      <c r="S420" s="44" t="s">
        <v>1068</v>
      </c>
      <c r="T420" s="44" t="s">
        <v>1068</v>
      </c>
      <c r="U420" s="44" t="s">
        <v>1172</v>
      </c>
      <c r="V420" s="44" t="s">
        <v>2518</v>
      </c>
      <c r="W420" s="44" t="s">
        <v>306</v>
      </c>
      <c r="X420" s="48" t="s">
        <v>2519</v>
      </c>
      <c r="Y420" s="44" t="s">
        <v>2520</v>
      </c>
    </row>
    <row r="421" spans="1:25" x14ac:dyDescent="0.25">
      <c r="A421" s="44" t="s">
        <v>2195</v>
      </c>
      <c r="B421" s="44" t="s">
        <v>227</v>
      </c>
      <c r="C421" s="44" t="s">
        <v>1399</v>
      </c>
      <c r="D421" s="44" t="s">
        <v>142</v>
      </c>
      <c r="E421" s="44" t="s">
        <v>126</v>
      </c>
      <c r="F421" s="44">
        <v>10</v>
      </c>
      <c r="G421" s="44" t="s">
        <v>108</v>
      </c>
      <c r="H421" s="44" t="s">
        <v>120</v>
      </c>
      <c r="I421" s="44" t="s">
        <v>656</v>
      </c>
      <c r="J421" s="44">
        <v>100</v>
      </c>
      <c r="K421" s="44">
        <v>1</v>
      </c>
      <c r="L421" s="45">
        <v>3268</v>
      </c>
      <c r="M421" s="44">
        <v>6817</v>
      </c>
      <c r="N421" s="46">
        <f t="shared" si="12"/>
        <v>1.4815901422913304E-2</v>
      </c>
      <c r="O421" s="47">
        <f t="shared" si="13"/>
        <v>0.47938976089188795</v>
      </c>
      <c r="P421" s="44">
        <v>131</v>
      </c>
      <c r="Q421" s="44">
        <v>0</v>
      </c>
      <c r="R421" s="44">
        <v>0</v>
      </c>
      <c r="S421" s="44" t="s">
        <v>1068</v>
      </c>
      <c r="T421" s="44" t="s">
        <v>1068</v>
      </c>
      <c r="U421" s="44"/>
      <c r="V421" s="44"/>
      <c r="W421" s="44" t="s">
        <v>2521</v>
      </c>
      <c r="X421" s="48" t="s">
        <v>2522</v>
      </c>
      <c r="Y421" s="44" t="s">
        <v>2523</v>
      </c>
    </row>
    <row r="422" spans="1:25" x14ac:dyDescent="0.25">
      <c r="A422" s="44" t="s">
        <v>2195</v>
      </c>
      <c r="B422" s="44" t="s">
        <v>227</v>
      </c>
      <c r="C422" s="44" t="s">
        <v>1738</v>
      </c>
      <c r="D422" s="44" t="s">
        <v>142</v>
      </c>
      <c r="E422" s="44" t="s">
        <v>132</v>
      </c>
      <c r="F422" s="44">
        <v>12</v>
      </c>
      <c r="G422" s="44" t="s">
        <v>111</v>
      </c>
      <c r="H422" s="44" t="s">
        <v>121</v>
      </c>
      <c r="I422" s="44" t="s">
        <v>656</v>
      </c>
      <c r="J422" s="44">
        <v>68</v>
      </c>
      <c r="K422" s="44">
        <v>3</v>
      </c>
      <c r="L422" s="45"/>
      <c r="M422" s="44">
        <v>6817</v>
      </c>
      <c r="N422" s="46">
        <f t="shared" si="12"/>
        <v>1.0415138624028165E-2</v>
      </c>
      <c r="O422" s="47" t="str">
        <f t="shared" si="13"/>
        <v/>
      </c>
      <c r="P422" s="44">
        <v>50</v>
      </c>
      <c r="Q422" s="44">
        <v>5</v>
      </c>
      <c r="R422" s="44">
        <v>6</v>
      </c>
      <c r="S422" s="44" t="s">
        <v>1067</v>
      </c>
      <c r="T422" s="44" t="s">
        <v>1068</v>
      </c>
      <c r="U422" s="44"/>
      <c r="V422" s="44" t="s">
        <v>2524</v>
      </c>
      <c r="W422" s="44" t="s">
        <v>2525</v>
      </c>
      <c r="X422" s="48" t="s">
        <v>2526</v>
      </c>
      <c r="Y422" s="44" t="s">
        <v>2527</v>
      </c>
    </row>
    <row r="423" spans="1:25" x14ac:dyDescent="0.25">
      <c r="A423" s="44" t="s">
        <v>2195</v>
      </c>
      <c r="B423" s="44" t="s">
        <v>227</v>
      </c>
      <c r="C423" s="44" t="s">
        <v>2176</v>
      </c>
      <c r="D423" s="44" t="s">
        <v>142</v>
      </c>
      <c r="E423" s="44" t="s">
        <v>128</v>
      </c>
      <c r="F423" s="44">
        <v>10</v>
      </c>
      <c r="G423" s="44" t="s">
        <v>109</v>
      </c>
      <c r="H423" s="44" t="s">
        <v>121</v>
      </c>
      <c r="I423" s="44" t="s">
        <v>656</v>
      </c>
      <c r="J423" s="44">
        <v>70</v>
      </c>
      <c r="K423" s="44">
        <v>0</v>
      </c>
      <c r="L423" s="45"/>
      <c r="M423" s="44">
        <v>6817</v>
      </c>
      <c r="N423" s="46">
        <f t="shared" si="12"/>
        <v>1.0268446530731994E-2</v>
      </c>
      <c r="O423" s="47" t="str">
        <f t="shared" si="13"/>
        <v/>
      </c>
      <c r="P423" s="44">
        <v>145</v>
      </c>
      <c r="Q423" s="44">
        <v>0</v>
      </c>
      <c r="R423" s="44">
        <v>0</v>
      </c>
      <c r="S423" s="44" t="s">
        <v>1067</v>
      </c>
      <c r="T423" s="44" t="s">
        <v>1068</v>
      </c>
      <c r="U423" s="44"/>
      <c r="V423" s="44"/>
      <c r="W423" s="44" t="s">
        <v>2528</v>
      </c>
      <c r="X423" s="48" t="s">
        <v>2529</v>
      </c>
      <c r="Y423" s="44" t="s">
        <v>2530</v>
      </c>
    </row>
    <row r="424" spans="1:25" x14ac:dyDescent="0.25">
      <c r="A424" s="44" t="s">
        <v>2195</v>
      </c>
      <c r="B424" s="44" t="s">
        <v>227</v>
      </c>
      <c r="C424" s="44" t="s">
        <v>1742</v>
      </c>
      <c r="D424" s="44" t="s">
        <v>142</v>
      </c>
      <c r="E424" s="44" t="s">
        <v>126</v>
      </c>
      <c r="F424" s="44">
        <v>10</v>
      </c>
      <c r="G424" s="44" t="s">
        <v>111</v>
      </c>
      <c r="H424" s="44" t="s">
        <v>119</v>
      </c>
      <c r="I424" s="44" t="s">
        <v>629</v>
      </c>
      <c r="J424" s="44">
        <v>101</v>
      </c>
      <c r="K424" s="44">
        <v>8</v>
      </c>
      <c r="L424" s="45"/>
      <c r="M424" s="44">
        <v>6817</v>
      </c>
      <c r="N424" s="46">
        <f t="shared" si="12"/>
        <v>1.5989438169282676E-2</v>
      </c>
      <c r="O424" s="47" t="str">
        <f t="shared" si="13"/>
        <v/>
      </c>
      <c r="P424" s="44">
        <v>185</v>
      </c>
      <c r="Q424" s="44">
        <v>0</v>
      </c>
      <c r="R424" s="44">
        <v>0</v>
      </c>
      <c r="S424" s="44" t="s">
        <v>1068</v>
      </c>
      <c r="T424" s="44" t="s">
        <v>1068</v>
      </c>
      <c r="U424" s="44"/>
      <c r="V424" s="44"/>
      <c r="W424" s="44" t="s">
        <v>2531</v>
      </c>
      <c r="X424" s="48" t="s">
        <v>2532</v>
      </c>
      <c r="Y424" s="44" t="s">
        <v>2533</v>
      </c>
    </row>
    <row r="425" spans="1:25" x14ac:dyDescent="0.25">
      <c r="A425" s="44" t="s">
        <v>2195</v>
      </c>
      <c r="B425" s="44" t="s">
        <v>227</v>
      </c>
      <c r="C425" s="44" t="s">
        <v>2534</v>
      </c>
      <c r="D425" s="44" t="s">
        <v>142</v>
      </c>
      <c r="E425" s="44" t="s">
        <v>134</v>
      </c>
      <c r="F425" s="44">
        <v>10</v>
      </c>
      <c r="G425" s="44" t="s">
        <v>108</v>
      </c>
      <c r="H425" s="44" t="s">
        <v>120</v>
      </c>
      <c r="I425" s="44" t="s">
        <v>650</v>
      </c>
      <c r="J425" s="44">
        <v>11</v>
      </c>
      <c r="K425" s="44">
        <v>0</v>
      </c>
      <c r="L425" s="45">
        <v>933</v>
      </c>
      <c r="M425" s="44">
        <v>6817</v>
      </c>
      <c r="N425" s="46">
        <f t="shared" si="12"/>
        <v>1.6136130262578846E-3</v>
      </c>
      <c r="O425" s="47">
        <f t="shared" si="13"/>
        <v>0.13686372304532785</v>
      </c>
      <c r="P425" s="44">
        <v>50</v>
      </c>
      <c r="Q425" s="44">
        <v>0</v>
      </c>
      <c r="R425" s="44">
        <v>0</v>
      </c>
      <c r="S425" s="44" t="s">
        <v>1067</v>
      </c>
      <c r="T425" s="44" t="s">
        <v>1067</v>
      </c>
      <c r="U425" s="44"/>
      <c r="V425" s="44"/>
      <c r="W425" s="44" t="s">
        <v>2535</v>
      </c>
      <c r="X425" s="48" t="s">
        <v>2536</v>
      </c>
      <c r="Y425" s="44" t="s">
        <v>2537</v>
      </c>
    </row>
    <row r="426" spans="1:25" x14ac:dyDescent="0.25">
      <c r="A426" s="44" t="s">
        <v>2195</v>
      </c>
      <c r="B426" s="44" t="s">
        <v>227</v>
      </c>
      <c r="C426" s="44" t="s">
        <v>2538</v>
      </c>
      <c r="D426" s="44" t="s">
        <v>142</v>
      </c>
      <c r="E426" s="44" t="s">
        <v>130</v>
      </c>
      <c r="F426" s="44">
        <v>10</v>
      </c>
      <c r="G426" s="44" t="s">
        <v>108</v>
      </c>
      <c r="H426" s="44" t="s">
        <v>120</v>
      </c>
      <c r="I426" s="44" t="s">
        <v>650</v>
      </c>
      <c r="J426" s="44">
        <v>7</v>
      </c>
      <c r="K426" s="44">
        <v>0</v>
      </c>
      <c r="L426" s="45">
        <v>802</v>
      </c>
      <c r="M426" s="44">
        <v>6817</v>
      </c>
      <c r="N426" s="46">
        <f t="shared" si="12"/>
        <v>1.0268446530731993E-3</v>
      </c>
      <c r="O426" s="47">
        <f t="shared" si="13"/>
        <v>0.11764705882352941</v>
      </c>
      <c r="P426" s="44">
        <v>55</v>
      </c>
      <c r="Q426" s="44">
        <v>0</v>
      </c>
      <c r="R426" s="44">
        <v>0</v>
      </c>
      <c r="S426" s="44" t="s">
        <v>1067</v>
      </c>
      <c r="T426" s="44" t="s">
        <v>1067</v>
      </c>
      <c r="U426" s="44"/>
      <c r="V426" s="44"/>
      <c r="W426" s="44" t="s">
        <v>2539</v>
      </c>
      <c r="X426" s="48" t="s">
        <v>2540</v>
      </c>
      <c r="Y426" s="44" t="s">
        <v>2541</v>
      </c>
    </row>
    <row r="427" spans="1:25" x14ac:dyDescent="0.25">
      <c r="A427" s="44" t="s">
        <v>2195</v>
      </c>
      <c r="B427" s="44" t="s">
        <v>227</v>
      </c>
      <c r="C427" s="44" t="s">
        <v>1410</v>
      </c>
      <c r="D427" s="44" t="s">
        <v>142</v>
      </c>
      <c r="E427" s="44" t="s">
        <v>128</v>
      </c>
      <c r="F427" s="44">
        <v>10</v>
      </c>
      <c r="G427" s="44" t="s">
        <v>109</v>
      </c>
      <c r="H427" s="44" t="s">
        <v>117</v>
      </c>
      <c r="I427" s="44" t="s">
        <v>629</v>
      </c>
      <c r="J427" s="44">
        <v>33</v>
      </c>
      <c r="K427" s="44">
        <v>0</v>
      </c>
      <c r="L427" s="45"/>
      <c r="M427" s="44">
        <v>6817</v>
      </c>
      <c r="N427" s="46">
        <f t="shared" si="12"/>
        <v>4.8408390787736538E-3</v>
      </c>
      <c r="O427" s="47" t="str">
        <f t="shared" si="13"/>
        <v/>
      </c>
      <c r="P427" s="44">
        <v>113</v>
      </c>
      <c r="Q427" s="44">
        <v>0</v>
      </c>
      <c r="R427" s="44">
        <v>1</v>
      </c>
      <c r="S427" s="44" t="s">
        <v>1068</v>
      </c>
      <c r="T427" s="44" t="s">
        <v>1068</v>
      </c>
      <c r="U427" s="44" t="s">
        <v>2542</v>
      </c>
      <c r="V427" s="44"/>
      <c r="W427" s="44" t="s">
        <v>2543</v>
      </c>
      <c r="X427" s="48" t="s">
        <v>2544</v>
      </c>
      <c r="Y427" s="44" t="s">
        <v>2545</v>
      </c>
    </row>
    <row r="428" spans="1:25" x14ac:dyDescent="0.25">
      <c r="A428" s="44" t="s">
        <v>2195</v>
      </c>
      <c r="B428" s="44" t="s">
        <v>227</v>
      </c>
      <c r="C428" s="44" t="s">
        <v>1755</v>
      </c>
      <c r="D428" s="44" t="s">
        <v>142</v>
      </c>
      <c r="E428" s="44" t="s">
        <v>126</v>
      </c>
      <c r="F428" s="44">
        <v>16</v>
      </c>
      <c r="G428" s="44" t="s">
        <v>109</v>
      </c>
      <c r="H428" s="44" t="s">
        <v>115</v>
      </c>
      <c r="I428" s="44" t="s">
        <v>656</v>
      </c>
      <c r="J428" s="44">
        <v>109</v>
      </c>
      <c r="K428" s="44">
        <v>1</v>
      </c>
      <c r="L428" s="45"/>
      <c r="M428" s="44">
        <v>6817</v>
      </c>
      <c r="N428" s="46">
        <f t="shared" si="12"/>
        <v>1.6136130262578846E-2</v>
      </c>
      <c r="O428" s="47" t="str">
        <f t="shared" si="13"/>
        <v/>
      </c>
      <c r="P428" s="44">
        <v>259</v>
      </c>
      <c r="Q428" s="44">
        <v>0</v>
      </c>
      <c r="R428" s="44">
        <v>0</v>
      </c>
      <c r="S428" s="44" t="s">
        <v>1067</v>
      </c>
      <c r="T428" s="44" t="s">
        <v>1068</v>
      </c>
      <c r="U428" s="44" t="s">
        <v>2546</v>
      </c>
      <c r="V428" s="44"/>
      <c r="W428" s="44" t="s">
        <v>2547</v>
      </c>
      <c r="X428" s="48" t="s">
        <v>2548</v>
      </c>
      <c r="Y428" s="44" t="s">
        <v>2549</v>
      </c>
    </row>
    <row r="429" spans="1:25" x14ac:dyDescent="0.25">
      <c r="A429" s="44" t="s">
        <v>2195</v>
      </c>
      <c r="B429" s="44" t="s">
        <v>227</v>
      </c>
      <c r="C429" s="44" t="s">
        <v>1755</v>
      </c>
      <c r="D429" s="44" t="s">
        <v>142</v>
      </c>
      <c r="E429" s="44" t="s">
        <v>126</v>
      </c>
      <c r="F429" s="44">
        <v>10</v>
      </c>
      <c r="G429" s="44" t="s">
        <v>108</v>
      </c>
      <c r="H429" s="44" t="s">
        <v>117</v>
      </c>
      <c r="I429" s="44" t="s">
        <v>638</v>
      </c>
      <c r="J429" s="44">
        <v>12</v>
      </c>
      <c r="K429" s="44">
        <v>1</v>
      </c>
      <c r="L429" s="45">
        <v>722</v>
      </c>
      <c r="M429" s="44">
        <v>6817</v>
      </c>
      <c r="N429" s="46">
        <f t="shared" si="12"/>
        <v>1.9069972128502274E-3</v>
      </c>
      <c r="O429" s="47">
        <f t="shared" si="13"/>
        <v>0.10591169135983571</v>
      </c>
      <c r="P429" s="44">
        <v>58</v>
      </c>
      <c r="Q429" s="44">
        <v>0</v>
      </c>
      <c r="R429" s="44">
        <v>0</v>
      </c>
      <c r="S429" s="44" t="s">
        <v>1067</v>
      </c>
      <c r="T429" s="44" t="s">
        <v>1068</v>
      </c>
      <c r="U429" s="44"/>
      <c r="V429" s="44"/>
      <c r="W429" s="44" t="s">
        <v>2550</v>
      </c>
      <c r="X429" s="48" t="s">
        <v>2551</v>
      </c>
      <c r="Y429" s="44" t="s">
        <v>2552</v>
      </c>
    </row>
    <row r="430" spans="1:25" x14ac:dyDescent="0.25">
      <c r="A430" s="44" t="s">
        <v>2553</v>
      </c>
      <c r="B430" s="44" t="s">
        <v>228</v>
      </c>
      <c r="C430" s="44" t="s">
        <v>2196</v>
      </c>
      <c r="D430" s="44" t="s">
        <v>149</v>
      </c>
      <c r="E430" s="44" t="s">
        <v>128</v>
      </c>
      <c r="F430" s="44">
        <v>7</v>
      </c>
      <c r="G430" s="44" t="s">
        <v>111</v>
      </c>
      <c r="H430" s="44" t="s">
        <v>117</v>
      </c>
      <c r="I430" s="44" t="s">
        <v>638</v>
      </c>
      <c r="J430" s="44">
        <v>3</v>
      </c>
      <c r="K430" s="44">
        <v>0</v>
      </c>
      <c r="L430" s="45"/>
      <c r="M430" s="44">
        <v>10500</v>
      </c>
      <c r="N430" s="46">
        <f t="shared" si="12"/>
        <v>2.8571428571428574E-4</v>
      </c>
      <c r="O430" s="47" t="str">
        <f t="shared" si="13"/>
        <v/>
      </c>
      <c r="P430" s="44">
        <v>84</v>
      </c>
      <c r="Q430" s="44">
        <v>5</v>
      </c>
      <c r="R430" s="44">
        <v>3</v>
      </c>
      <c r="S430" s="44" t="s">
        <v>1067</v>
      </c>
      <c r="T430" s="44" t="s">
        <v>1068</v>
      </c>
      <c r="U430" s="44" t="s">
        <v>2554</v>
      </c>
      <c r="V430" s="44"/>
      <c r="W430" s="44" t="s">
        <v>2555</v>
      </c>
      <c r="X430" s="48" t="s">
        <v>2556</v>
      </c>
      <c r="Y430" s="44" t="s">
        <v>2557</v>
      </c>
    </row>
    <row r="431" spans="1:25" x14ac:dyDescent="0.25">
      <c r="A431" s="44" t="s">
        <v>2553</v>
      </c>
      <c r="B431" s="44" t="s">
        <v>228</v>
      </c>
      <c r="C431" s="44" t="s">
        <v>1066</v>
      </c>
      <c r="D431" s="44" t="s">
        <v>149</v>
      </c>
      <c r="E431" s="44" t="s">
        <v>126</v>
      </c>
      <c r="F431" s="44">
        <v>15</v>
      </c>
      <c r="G431" s="44" t="s">
        <v>111</v>
      </c>
      <c r="H431" s="44" t="s">
        <v>117</v>
      </c>
      <c r="I431" s="44" t="s">
        <v>629</v>
      </c>
      <c r="J431" s="44">
        <v>29</v>
      </c>
      <c r="K431" s="44">
        <v>1</v>
      </c>
      <c r="L431" s="45"/>
      <c r="M431" s="44">
        <v>10500</v>
      </c>
      <c r="N431" s="46">
        <f t="shared" si="12"/>
        <v>2.8571428571428571E-3</v>
      </c>
      <c r="O431" s="47" t="str">
        <f t="shared" si="13"/>
        <v/>
      </c>
      <c r="P431" s="44">
        <v>57</v>
      </c>
      <c r="Q431" s="44">
        <v>5</v>
      </c>
      <c r="R431" s="44">
        <v>2</v>
      </c>
      <c r="S431" s="44" t="s">
        <v>1068</v>
      </c>
      <c r="T431" s="44" t="s">
        <v>1068</v>
      </c>
      <c r="U431" s="44" t="s">
        <v>2558</v>
      </c>
      <c r="V431" s="44" t="s">
        <v>2553</v>
      </c>
      <c r="W431" s="44" t="s">
        <v>2559</v>
      </c>
      <c r="X431" s="48" t="s">
        <v>2560</v>
      </c>
      <c r="Y431" s="44" t="s">
        <v>2561</v>
      </c>
    </row>
    <row r="432" spans="1:25" x14ac:dyDescent="0.25">
      <c r="A432" s="44" t="s">
        <v>2553</v>
      </c>
      <c r="B432" s="44" t="s">
        <v>228</v>
      </c>
      <c r="C432" s="44" t="s">
        <v>1066</v>
      </c>
      <c r="D432" s="44" t="s">
        <v>149</v>
      </c>
      <c r="E432" s="44" t="s">
        <v>126</v>
      </c>
      <c r="F432" s="44">
        <v>14</v>
      </c>
      <c r="G432" s="44" t="s">
        <v>108</v>
      </c>
      <c r="H432" s="44" t="s">
        <v>120</v>
      </c>
      <c r="I432" s="44" t="s">
        <v>656</v>
      </c>
      <c r="J432" s="44">
        <v>9</v>
      </c>
      <c r="K432" s="44">
        <v>0</v>
      </c>
      <c r="L432" s="45">
        <v>627</v>
      </c>
      <c r="M432" s="44">
        <v>10500</v>
      </c>
      <c r="N432" s="46">
        <f t="shared" si="12"/>
        <v>8.571428571428571E-4</v>
      </c>
      <c r="O432" s="47">
        <f t="shared" si="13"/>
        <v>5.9714285714285713E-2</v>
      </c>
      <c r="P432" s="44">
        <v>84</v>
      </c>
      <c r="Q432" s="44">
        <v>5</v>
      </c>
      <c r="R432" s="44">
        <v>7</v>
      </c>
      <c r="S432" s="44" t="s">
        <v>1067</v>
      </c>
      <c r="T432" s="44" t="s">
        <v>1068</v>
      </c>
      <c r="U432" s="44" t="s">
        <v>2562</v>
      </c>
      <c r="V432" s="44"/>
      <c r="W432" s="44" t="s">
        <v>2563</v>
      </c>
      <c r="X432" s="48" t="s">
        <v>2564</v>
      </c>
      <c r="Y432" s="44" t="s">
        <v>2565</v>
      </c>
    </row>
    <row r="433" spans="1:25" x14ac:dyDescent="0.25">
      <c r="A433" s="44" t="s">
        <v>2553</v>
      </c>
      <c r="B433" s="44" t="s">
        <v>228</v>
      </c>
      <c r="C433" s="44" t="s">
        <v>1066</v>
      </c>
      <c r="D433" s="44" t="s">
        <v>149</v>
      </c>
      <c r="E433" s="44" t="s">
        <v>126</v>
      </c>
      <c r="F433" s="44">
        <v>13</v>
      </c>
      <c r="G433" s="44" t="s">
        <v>111</v>
      </c>
      <c r="H433" s="44" t="s">
        <v>122</v>
      </c>
      <c r="I433" s="44" t="s">
        <v>656</v>
      </c>
      <c r="J433" s="44">
        <v>42</v>
      </c>
      <c r="K433" s="44">
        <v>0</v>
      </c>
      <c r="L433" s="45"/>
      <c r="M433" s="44">
        <v>10500</v>
      </c>
      <c r="N433" s="46">
        <f t="shared" si="12"/>
        <v>4.0000000000000001E-3</v>
      </c>
      <c r="O433" s="47" t="str">
        <f t="shared" si="13"/>
        <v/>
      </c>
      <c r="P433" s="44">
        <v>17</v>
      </c>
      <c r="Q433" s="44">
        <v>5</v>
      </c>
      <c r="R433" s="44">
        <v>2</v>
      </c>
      <c r="S433" s="44" t="s">
        <v>1068</v>
      </c>
      <c r="T433" s="44" t="s">
        <v>1068</v>
      </c>
      <c r="U433" s="44" t="s">
        <v>2566</v>
      </c>
      <c r="V433" s="44"/>
      <c r="W433" s="44" t="s">
        <v>2567</v>
      </c>
      <c r="X433" s="48" t="s">
        <v>2568</v>
      </c>
      <c r="Y433" s="44" t="s">
        <v>2569</v>
      </c>
    </row>
    <row r="434" spans="1:25" x14ac:dyDescent="0.25">
      <c r="A434" s="44" t="s">
        <v>2553</v>
      </c>
      <c r="B434" s="44" t="s">
        <v>228</v>
      </c>
      <c r="C434" s="44" t="s">
        <v>1066</v>
      </c>
      <c r="D434" s="44" t="s">
        <v>149</v>
      </c>
      <c r="E434" s="44" t="s">
        <v>126</v>
      </c>
      <c r="F434" s="44">
        <v>9</v>
      </c>
      <c r="G434" s="44" t="s">
        <v>111</v>
      </c>
      <c r="H434" s="44" t="s">
        <v>121</v>
      </c>
      <c r="I434" s="44" t="s">
        <v>650</v>
      </c>
      <c r="J434" s="44">
        <v>23</v>
      </c>
      <c r="K434" s="44">
        <v>0</v>
      </c>
      <c r="L434" s="45"/>
      <c r="M434" s="44">
        <v>10500</v>
      </c>
      <c r="N434" s="46">
        <f t="shared" si="12"/>
        <v>2.1904761904761906E-3</v>
      </c>
      <c r="O434" s="47" t="str">
        <f t="shared" si="13"/>
        <v/>
      </c>
      <c r="P434" s="44">
        <v>80</v>
      </c>
      <c r="Q434" s="44">
        <v>5</v>
      </c>
      <c r="R434" s="44">
        <v>3</v>
      </c>
      <c r="S434" s="44" t="s">
        <v>1068</v>
      </c>
      <c r="T434" s="44" t="s">
        <v>1067</v>
      </c>
      <c r="U434" s="44" t="s">
        <v>2570</v>
      </c>
      <c r="V434" s="44"/>
      <c r="W434" s="44" t="s">
        <v>2571</v>
      </c>
      <c r="X434" s="48" t="s">
        <v>2572</v>
      </c>
      <c r="Y434" s="44" t="s">
        <v>2573</v>
      </c>
    </row>
    <row r="435" spans="1:25" x14ac:dyDescent="0.25">
      <c r="A435" s="44" t="s">
        <v>2553</v>
      </c>
      <c r="B435" s="44" t="s">
        <v>228</v>
      </c>
      <c r="C435" s="44" t="s">
        <v>1066</v>
      </c>
      <c r="D435" s="44" t="s">
        <v>149</v>
      </c>
      <c r="E435" s="44" t="s">
        <v>126</v>
      </c>
      <c r="F435" s="44">
        <v>9</v>
      </c>
      <c r="G435" s="44" t="s">
        <v>111</v>
      </c>
      <c r="H435" s="44" t="s">
        <v>117</v>
      </c>
      <c r="I435" s="44" t="s">
        <v>638</v>
      </c>
      <c r="J435" s="44">
        <v>8</v>
      </c>
      <c r="K435" s="44">
        <v>0</v>
      </c>
      <c r="L435" s="45"/>
      <c r="M435" s="44">
        <v>10500</v>
      </c>
      <c r="N435" s="46">
        <f t="shared" si="12"/>
        <v>7.6190476190476193E-4</v>
      </c>
      <c r="O435" s="47" t="str">
        <f t="shared" si="13"/>
        <v/>
      </c>
      <c r="P435" s="44">
        <v>59</v>
      </c>
      <c r="Q435" s="44">
        <v>5</v>
      </c>
      <c r="R435" s="44">
        <v>8</v>
      </c>
      <c r="S435" s="44" t="s">
        <v>1067</v>
      </c>
      <c r="T435" s="44" t="s">
        <v>1068</v>
      </c>
      <c r="U435" s="44" t="s">
        <v>2574</v>
      </c>
      <c r="V435" s="44"/>
      <c r="W435" s="44" t="s">
        <v>2575</v>
      </c>
      <c r="X435" s="48" t="s">
        <v>2576</v>
      </c>
      <c r="Y435" s="44" t="s">
        <v>2577</v>
      </c>
    </row>
    <row r="436" spans="1:25" x14ac:dyDescent="0.25">
      <c r="A436" s="44" t="s">
        <v>2553</v>
      </c>
      <c r="B436" s="44" t="s">
        <v>228</v>
      </c>
      <c r="C436" s="44" t="s">
        <v>1066</v>
      </c>
      <c r="D436" s="44" t="s">
        <v>149</v>
      </c>
      <c r="E436" s="44" t="s">
        <v>126</v>
      </c>
      <c r="F436" s="44">
        <v>8</v>
      </c>
      <c r="G436" s="44" t="s">
        <v>108</v>
      </c>
      <c r="H436" s="44" t="s">
        <v>119</v>
      </c>
      <c r="I436" s="44" t="s">
        <v>629</v>
      </c>
      <c r="J436" s="44">
        <v>57</v>
      </c>
      <c r="K436" s="44">
        <v>3</v>
      </c>
      <c r="L436" s="45">
        <v>2851</v>
      </c>
      <c r="M436" s="44">
        <v>10500</v>
      </c>
      <c r="N436" s="46">
        <f t="shared" si="12"/>
        <v>5.7142857142857143E-3</v>
      </c>
      <c r="O436" s="47">
        <f t="shared" si="13"/>
        <v>0.2715238095238095</v>
      </c>
      <c r="P436" s="44">
        <v>78</v>
      </c>
      <c r="Q436" s="44">
        <v>0</v>
      </c>
      <c r="R436" s="44">
        <v>5</v>
      </c>
      <c r="S436" s="44" t="s">
        <v>1068</v>
      </c>
      <c r="T436" s="44" t="s">
        <v>1068</v>
      </c>
      <c r="U436" s="44"/>
      <c r="V436" s="44" t="s">
        <v>2578</v>
      </c>
      <c r="W436" s="44" t="s">
        <v>2579</v>
      </c>
      <c r="X436" s="48" t="s">
        <v>2580</v>
      </c>
      <c r="Y436" s="44" t="s">
        <v>2581</v>
      </c>
    </row>
    <row r="437" spans="1:25" x14ac:dyDescent="0.25">
      <c r="A437" s="44" t="s">
        <v>2553</v>
      </c>
      <c r="B437" s="44" t="s">
        <v>228</v>
      </c>
      <c r="C437" s="44" t="s">
        <v>2582</v>
      </c>
      <c r="D437" s="44" t="s">
        <v>149</v>
      </c>
      <c r="E437" s="44" t="s">
        <v>136</v>
      </c>
      <c r="F437" s="44">
        <v>14</v>
      </c>
      <c r="G437" s="44" t="s">
        <v>108</v>
      </c>
      <c r="H437" s="44" t="s">
        <v>114</v>
      </c>
      <c r="I437" s="44" t="s">
        <v>656</v>
      </c>
      <c r="J437" s="44">
        <v>43</v>
      </c>
      <c r="K437" s="44">
        <v>2</v>
      </c>
      <c r="L437" s="45">
        <v>2740</v>
      </c>
      <c r="M437" s="44">
        <v>10500</v>
      </c>
      <c r="N437" s="46">
        <f t="shared" si="12"/>
        <v>4.2857142857142859E-3</v>
      </c>
      <c r="O437" s="47">
        <f t="shared" si="13"/>
        <v>0.26095238095238094</v>
      </c>
      <c r="P437" s="44">
        <v>19</v>
      </c>
      <c r="Q437" s="44">
        <v>1</v>
      </c>
      <c r="R437" s="44">
        <v>4</v>
      </c>
      <c r="S437" s="44" t="s">
        <v>1068</v>
      </c>
      <c r="T437" s="44" t="s">
        <v>1068</v>
      </c>
      <c r="U437" s="44"/>
      <c r="V437" s="44" t="s">
        <v>2583</v>
      </c>
      <c r="W437" s="44" t="s">
        <v>2584</v>
      </c>
      <c r="X437" s="48" t="s">
        <v>2585</v>
      </c>
      <c r="Y437" s="44" t="s">
        <v>2586</v>
      </c>
    </row>
    <row r="438" spans="1:25" x14ac:dyDescent="0.25">
      <c r="A438" s="44" t="s">
        <v>2553</v>
      </c>
      <c r="B438" s="44" t="s">
        <v>228</v>
      </c>
      <c r="C438" s="44" t="s">
        <v>1073</v>
      </c>
      <c r="D438" s="44" t="s">
        <v>149</v>
      </c>
      <c r="E438" s="44" t="s">
        <v>134</v>
      </c>
      <c r="F438" s="44">
        <v>21</v>
      </c>
      <c r="G438" s="44" t="s">
        <v>108</v>
      </c>
      <c r="H438" s="44" t="s">
        <v>122</v>
      </c>
      <c r="I438" s="44" t="s">
        <v>656</v>
      </c>
      <c r="J438" s="44">
        <v>188</v>
      </c>
      <c r="K438" s="44">
        <v>11</v>
      </c>
      <c r="L438" s="45">
        <v>6563</v>
      </c>
      <c r="M438" s="44">
        <v>10500</v>
      </c>
      <c r="N438" s="46">
        <f t="shared" si="12"/>
        <v>1.8952380952380953E-2</v>
      </c>
      <c r="O438" s="47">
        <f t="shared" si="13"/>
        <v>0.62504761904761907</v>
      </c>
      <c r="P438" s="44">
        <v>18</v>
      </c>
      <c r="Q438" s="44">
        <v>4</v>
      </c>
      <c r="R438" s="44">
        <v>3</v>
      </c>
      <c r="S438" s="44" t="s">
        <v>1067</v>
      </c>
      <c r="T438" s="44" t="s">
        <v>1068</v>
      </c>
      <c r="U438" s="44"/>
      <c r="V438" s="44" t="s">
        <v>2587</v>
      </c>
      <c r="W438" s="44" t="s">
        <v>2588</v>
      </c>
      <c r="X438" s="48" t="s">
        <v>2589</v>
      </c>
      <c r="Y438" s="44" t="s">
        <v>2590</v>
      </c>
    </row>
    <row r="439" spans="1:25" x14ac:dyDescent="0.25">
      <c r="A439" s="44" t="s">
        <v>2553</v>
      </c>
      <c r="B439" s="44" t="s">
        <v>228</v>
      </c>
      <c r="C439" s="44" t="s">
        <v>1073</v>
      </c>
      <c r="D439" s="44" t="s">
        <v>149</v>
      </c>
      <c r="E439" s="44" t="s">
        <v>134</v>
      </c>
      <c r="F439" s="44">
        <v>14</v>
      </c>
      <c r="G439" s="44" t="s">
        <v>108</v>
      </c>
      <c r="H439" s="44" t="s">
        <v>114</v>
      </c>
      <c r="I439" s="44" t="s">
        <v>656</v>
      </c>
      <c r="J439" s="44">
        <v>112</v>
      </c>
      <c r="K439" s="44">
        <v>6</v>
      </c>
      <c r="L439" s="45">
        <v>5187</v>
      </c>
      <c r="M439" s="44">
        <v>10500</v>
      </c>
      <c r="N439" s="46">
        <f t="shared" si="12"/>
        <v>1.1238095238095238E-2</v>
      </c>
      <c r="O439" s="47">
        <f t="shared" si="13"/>
        <v>0.49399999999999999</v>
      </c>
      <c r="P439" s="44">
        <v>15</v>
      </c>
      <c r="Q439" s="44">
        <v>5</v>
      </c>
      <c r="R439" s="44">
        <v>2</v>
      </c>
      <c r="S439" s="44" t="s">
        <v>1068</v>
      </c>
      <c r="T439" s="44" t="s">
        <v>1068</v>
      </c>
      <c r="U439" s="44" t="s">
        <v>2591</v>
      </c>
      <c r="V439" s="44"/>
      <c r="W439" s="44" t="s">
        <v>2592</v>
      </c>
      <c r="X439" s="48" t="s">
        <v>2593</v>
      </c>
      <c r="Y439" s="44" t="s">
        <v>2594</v>
      </c>
    </row>
    <row r="440" spans="1:25" x14ac:dyDescent="0.25">
      <c r="A440" s="44" t="s">
        <v>2553</v>
      </c>
      <c r="B440" s="44" t="s">
        <v>228</v>
      </c>
      <c r="C440" s="44" t="s">
        <v>1073</v>
      </c>
      <c r="D440" s="44" t="s">
        <v>149</v>
      </c>
      <c r="E440" s="44" t="s">
        <v>134</v>
      </c>
      <c r="F440" s="44">
        <v>13</v>
      </c>
      <c r="G440" s="44" t="s">
        <v>108</v>
      </c>
      <c r="H440" s="44" t="s">
        <v>114</v>
      </c>
      <c r="I440" s="44" t="s">
        <v>648</v>
      </c>
      <c r="J440" s="44">
        <v>39</v>
      </c>
      <c r="K440" s="44">
        <v>2</v>
      </c>
      <c r="L440" s="45">
        <v>2734</v>
      </c>
      <c r="M440" s="44">
        <v>10500</v>
      </c>
      <c r="N440" s="46">
        <f t="shared" si="12"/>
        <v>3.9047619047619048E-3</v>
      </c>
      <c r="O440" s="47">
        <f t="shared" si="13"/>
        <v>0.26038095238095238</v>
      </c>
      <c r="P440" s="44">
        <v>38</v>
      </c>
      <c r="Q440" s="44">
        <v>4</v>
      </c>
      <c r="R440" s="44">
        <v>7</v>
      </c>
      <c r="S440" s="44" t="s">
        <v>1067</v>
      </c>
      <c r="T440" s="44" t="s">
        <v>1067</v>
      </c>
      <c r="U440" s="44" t="s">
        <v>2595</v>
      </c>
      <c r="V440" s="44" t="s">
        <v>2553</v>
      </c>
      <c r="W440" s="44" t="s">
        <v>2596</v>
      </c>
      <c r="X440" s="48" t="s">
        <v>2597</v>
      </c>
      <c r="Y440" s="44" t="s">
        <v>2598</v>
      </c>
    </row>
    <row r="441" spans="1:25" x14ac:dyDescent="0.25">
      <c r="A441" s="44" t="s">
        <v>2553</v>
      </c>
      <c r="B441" s="44" t="s">
        <v>228</v>
      </c>
      <c r="C441" s="44" t="s">
        <v>1073</v>
      </c>
      <c r="D441" s="44" t="s">
        <v>149</v>
      </c>
      <c r="E441" s="44" t="s">
        <v>134</v>
      </c>
      <c r="F441" s="44">
        <v>13</v>
      </c>
      <c r="G441" s="44" t="s">
        <v>108</v>
      </c>
      <c r="H441" s="44" t="s">
        <v>121</v>
      </c>
      <c r="I441" s="44" t="s">
        <v>656</v>
      </c>
      <c r="J441" s="44">
        <v>27</v>
      </c>
      <c r="K441" s="44">
        <v>0</v>
      </c>
      <c r="L441" s="45">
        <v>1998</v>
      </c>
      <c r="M441" s="44">
        <v>10500</v>
      </c>
      <c r="N441" s="46">
        <f t="shared" si="12"/>
        <v>2.5714285714285713E-3</v>
      </c>
      <c r="O441" s="47">
        <f t="shared" si="13"/>
        <v>0.19028571428571428</v>
      </c>
      <c r="P441" s="44">
        <v>22</v>
      </c>
      <c r="Q441" s="44">
        <v>5</v>
      </c>
      <c r="R441" s="44">
        <v>1</v>
      </c>
      <c r="S441" s="44" t="s">
        <v>1068</v>
      </c>
      <c r="T441" s="44" t="s">
        <v>1067</v>
      </c>
      <c r="U441" s="44"/>
      <c r="V441" s="44"/>
      <c r="W441" s="44" t="s">
        <v>2599</v>
      </c>
      <c r="X441" s="48" t="s">
        <v>2600</v>
      </c>
      <c r="Y441" s="44" t="s">
        <v>2601</v>
      </c>
    </row>
    <row r="442" spans="1:25" x14ac:dyDescent="0.25">
      <c r="A442" s="44" t="s">
        <v>2553</v>
      </c>
      <c r="B442" s="44" t="s">
        <v>228</v>
      </c>
      <c r="C442" s="44" t="s">
        <v>1073</v>
      </c>
      <c r="D442" s="44" t="s">
        <v>149</v>
      </c>
      <c r="E442" s="44" t="s">
        <v>134</v>
      </c>
      <c r="F442" s="44">
        <v>12</v>
      </c>
      <c r="G442" s="44" t="s">
        <v>109</v>
      </c>
      <c r="H442" s="44" t="s">
        <v>119</v>
      </c>
      <c r="I442" s="44" t="s">
        <v>629</v>
      </c>
      <c r="J442" s="44">
        <v>71</v>
      </c>
      <c r="K442" s="44">
        <v>0</v>
      </c>
      <c r="L442" s="45"/>
      <c r="M442" s="44">
        <v>10500</v>
      </c>
      <c r="N442" s="46">
        <f t="shared" si="12"/>
        <v>6.7619047619047615E-3</v>
      </c>
      <c r="O442" s="47" t="str">
        <f t="shared" si="13"/>
        <v/>
      </c>
      <c r="P442" s="44">
        <v>57</v>
      </c>
      <c r="Q442" s="44">
        <v>0</v>
      </c>
      <c r="R442" s="44">
        <v>0</v>
      </c>
      <c r="S442" s="44" t="s">
        <v>1068</v>
      </c>
      <c r="T442" s="44" t="s">
        <v>1068</v>
      </c>
      <c r="U442" s="44"/>
      <c r="V442" s="44" t="s">
        <v>2602</v>
      </c>
      <c r="W442" s="44" t="s">
        <v>2603</v>
      </c>
      <c r="X442" s="48" t="s">
        <v>2604</v>
      </c>
      <c r="Y442" s="44" t="s">
        <v>2605</v>
      </c>
    </row>
    <row r="443" spans="1:25" x14ac:dyDescent="0.25">
      <c r="A443" s="44" t="s">
        <v>2553</v>
      </c>
      <c r="B443" s="44" t="s">
        <v>228</v>
      </c>
      <c r="C443" s="44" t="s">
        <v>1073</v>
      </c>
      <c r="D443" s="44" t="s">
        <v>149</v>
      </c>
      <c r="E443" s="44" t="s">
        <v>134</v>
      </c>
      <c r="F443" s="44">
        <v>10</v>
      </c>
      <c r="G443" s="44" t="s">
        <v>108</v>
      </c>
      <c r="H443" s="44" t="s">
        <v>116</v>
      </c>
      <c r="I443" s="44" t="s">
        <v>656</v>
      </c>
      <c r="J443" s="44">
        <v>26</v>
      </c>
      <c r="K443" s="44">
        <v>1</v>
      </c>
      <c r="L443" s="45">
        <v>1049</v>
      </c>
      <c r="M443" s="44">
        <v>10500</v>
      </c>
      <c r="N443" s="46">
        <f t="shared" si="12"/>
        <v>2.5714285714285713E-3</v>
      </c>
      <c r="O443" s="47">
        <f t="shared" si="13"/>
        <v>9.9904761904761899E-2</v>
      </c>
      <c r="P443" s="44">
        <v>40</v>
      </c>
      <c r="Q443" s="44">
        <v>5</v>
      </c>
      <c r="R443" s="44">
        <v>9</v>
      </c>
      <c r="S443" s="44" t="s">
        <v>1068</v>
      </c>
      <c r="T443" s="44" t="s">
        <v>1067</v>
      </c>
      <c r="U443" s="44"/>
      <c r="V443" s="44" t="s">
        <v>2553</v>
      </c>
      <c r="W443" s="44" t="s">
        <v>2606</v>
      </c>
      <c r="X443" s="48" t="s">
        <v>2607</v>
      </c>
      <c r="Y443" s="44" t="s">
        <v>2608</v>
      </c>
    </row>
    <row r="444" spans="1:25" x14ac:dyDescent="0.25">
      <c r="A444" s="44" t="s">
        <v>2553</v>
      </c>
      <c r="B444" s="44" t="s">
        <v>228</v>
      </c>
      <c r="C444" s="44" t="s">
        <v>1073</v>
      </c>
      <c r="D444" s="44" t="s">
        <v>149</v>
      </c>
      <c r="E444" s="44" t="s">
        <v>134</v>
      </c>
      <c r="F444" s="44">
        <v>10</v>
      </c>
      <c r="G444" s="44" t="s">
        <v>111</v>
      </c>
      <c r="H444" s="44" t="s">
        <v>117</v>
      </c>
      <c r="I444" s="44" t="s">
        <v>656</v>
      </c>
      <c r="J444" s="44">
        <v>8</v>
      </c>
      <c r="K444" s="44">
        <v>0</v>
      </c>
      <c r="L444" s="45"/>
      <c r="M444" s="44">
        <v>10500</v>
      </c>
      <c r="N444" s="46">
        <f t="shared" si="12"/>
        <v>7.6190476190476193E-4</v>
      </c>
      <c r="O444" s="47" t="str">
        <f t="shared" si="13"/>
        <v/>
      </c>
      <c r="P444" s="44">
        <v>126</v>
      </c>
      <c r="Q444" s="44">
        <v>5</v>
      </c>
      <c r="R444" s="44">
        <v>12</v>
      </c>
      <c r="S444" s="44" t="s">
        <v>1067</v>
      </c>
      <c r="T444" s="44" t="s">
        <v>1068</v>
      </c>
      <c r="U444" s="44" t="s">
        <v>2609</v>
      </c>
      <c r="V444" s="44"/>
      <c r="W444" s="44" t="s">
        <v>2610</v>
      </c>
      <c r="X444" s="48" t="s">
        <v>2611</v>
      </c>
      <c r="Y444" s="44" t="s">
        <v>2612</v>
      </c>
    </row>
    <row r="445" spans="1:25" x14ac:dyDescent="0.25">
      <c r="A445" s="44" t="s">
        <v>2553</v>
      </c>
      <c r="B445" s="44" t="s">
        <v>228</v>
      </c>
      <c r="C445" s="44" t="s">
        <v>1073</v>
      </c>
      <c r="D445" s="44" t="s">
        <v>149</v>
      </c>
      <c r="E445" s="44" t="s">
        <v>134</v>
      </c>
      <c r="F445" s="44">
        <v>10</v>
      </c>
      <c r="G445" s="44" t="s">
        <v>111</v>
      </c>
      <c r="H445" s="44" t="s">
        <v>115</v>
      </c>
      <c r="I445" s="44" t="s">
        <v>656</v>
      </c>
      <c r="J445" s="44">
        <v>8</v>
      </c>
      <c r="K445" s="44">
        <v>0</v>
      </c>
      <c r="L445" s="45"/>
      <c r="M445" s="44">
        <v>10500</v>
      </c>
      <c r="N445" s="46">
        <f t="shared" si="12"/>
        <v>7.6190476190476193E-4</v>
      </c>
      <c r="O445" s="47" t="str">
        <f t="shared" si="13"/>
        <v/>
      </c>
      <c r="P445" s="44">
        <v>69</v>
      </c>
      <c r="Q445" s="44">
        <v>0</v>
      </c>
      <c r="R445" s="44">
        <v>5</v>
      </c>
      <c r="S445" s="44" t="s">
        <v>1067</v>
      </c>
      <c r="T445" s="44" t="s">
        <v>1068</v>
      </c>
      <c r="U445" s="44"/>
      <c r="V445" s="44"/>
      <c r="W445" s="44" t="s">
        <v>2613</v>
      </c>
      <c r="X445" s="48" t="s">
        <v>2614</v>
      </c>
      <c r="Y445" s="44" t="s">
        <v>2615</v>
      </c>
    </row>
    <row r="446" spans="1:25" x14ac:dyDescent="0.25">
      <c r="A446" s="44" t="s">
        <v>2553</v>
      </c>
      <c r="B446" s="44" t="s">
        <v>228</v>
      </c>
      <c r="C446" s="44" t="s">
        <v>1840</v>
      </c>
      <c r="D446" s="44" t="s">
        <v>149</v>
      </c>
      <c r="E446" s="44" t="s">
        <v>132</v>
      </c>
      <c r="F446" s="44">
        <v>14</v>
      </c>
      <c r="G446" s="44" t="s">
        <v>108</v>
      </c>
      <c r="H446" s="44" t="s">
        <v>114</v>
      </c>
      <c r="I446" s="44" t="s">
        <v>656</v>
      </c>
      <c r="J446" s="44">
        <v>11</v>
      </c>
      <c r="K446" s="44">
        <v>0</v>
      </c>
      <c r="L446" s="45">
        <v>1272</v>
      </c>
      <c r="M446" s="44">
        <v>10500</v>
      </c>
      <c r="N446" s="46">
        <f t="shared" si="12"/>
        <v>1.0476190476190477E-3</v>
      </c>
      <c r="O446" s="47">
        <f t="shared" si="13"/>
        <v>0.12114285714285715</v>
      </c>
      <c r="P446" s="44">
        <v>44</v>
      </c>
      <c r="Q446" s="44">
        <v>5</v>
      </c>
      <c r="R446" s="44">
        <v>10</v>
      </c>
      <c r="S446" s="44" t="s">
        <v>1068</v>
      </c>
      <c r="T446" s="44" t="s">
        <v>1067</v>
      </c>
      <c r="U446" s="44" t="s">
        <v>2616</v>
      </c>
      <c r="V446" s="44" t="s">
        <v>2553</v>
      </c>
      <c r="W446" s="44" t="s">
        <v>2617</v>
      </c>
      <c r="X446" s="48" t="s">
        <v>2618</v>
      </c>
      <c r="Y446" s="44" t="s">
        <v>2619</v>
      </c>
    </row>
    <row r="447" spans="1:25" x14ac:dyDescent="0.25">
      <c r="A447" s="44" t="s">
        <v>2553</v>
      </c>
      <c r="B447" s="44" t="s">
        <v>228</v>
      </c>
      <c r="C447" s="44" t="s">
        <v>1840</v>
      </c>
      <c r="D447" s="44" t="s">
        <v>149</v>
      </c>
      <c r="E447" s="44" t="s">
        <v>132</v>
      </c>
      <c r="F447" s="44">
        <v>13</v>
      </c>
      <c r="G447" s="44" t="s">
        <v>108</v>
      </c>
      <c r="H447" s="44" t="s">
        <v>122</v>
      </c>
      <c r="I447" s="44" t="s">
        <v>656</v>
      </c>
      <c r="J447" s="44">
        <v>71</v>
      </c>
      <c r="K447" s="44">
        <v>2</v>
      </c>
      <c r="L447" s="45">
        <v>3800</v>
      </c>
      <c r="M447" s="44">
        <v>10500</v>
      </c>
      <c r="N447" s="46">
        <f t="shared" si="12"/>
        <v>6.9523809523809521E-3</v>
      </c>
      <c r="O447" s="47">
        <f t="shared" si="13"/>
        <v>0.3619047619047619</v>
      </c>
      <c r="P447" s="44">
        <v>9</v>
      </c>
      <c r="Q447" s="44">
        <v>1</v>
      </c>
      <c r="R447" s="44">
        <v>1</v>
      </c>
      <c r="S447" s="44" t="s">
        <v>1068</v>
      </c>
      <c r="T447" s="44" t="s">
        <v>1068</v>
      </c>
      <c r="U447" s="44"/>
      <c r="V447" s="44" t="s">
        <v>2583</v>
      </c>
      <c r="W447" s="44" t="s">
        <v>2620</v>
      </c>
      <c r="X447" s="48" t="s">
        <v>2621</v>
      </c>
      <c r="Y447" s="44" t="s">
        <v>2620</v>
      </c>
    </row>
    <row r="448" spans="1:25" x14ac:dyDescent="0.25">
      <c r="A448" s="44" t="s">
        <v>2553</v>
      </c>
      <c r="B448" s="44" t="s">
        <v>228</v>
      </c>
      <c r="C448" s="44" t="s">
        <v>1840</v>
      </c>
      <c r="D448" s="44" t="s">
        <v>149</v>
      </c>
      <c r="E448" s="44" t="s">
        <v>132</v>
      </c>
      <c r="F448" s="44">
        <v>12</v>
      </c>
      <c r="G448" s="44" t="s">
        <v>108</v>
      </c>
      <c r="H448" s="44" t="s">
        <v>114</v>
      </c>
      <c r="I448" s="44" t="s">
        <v>648</v>
      </c>
      <c r="J448" s="44">
        <v>69</v>
      </c>
      <c r="K448" s="44">
        <v>0</v>
      </c>
      <c r="L448" s="45">
        <v>4462</v>
      </c>
      <c r="M448" s="44">
        <v>10500</v>
      </c>
      <c r="N448" s="46">
        <f t="shared" si="12"/>
        <v>6.5714285714285718E-3</v>
      </c>
      <c r="O448" s="47">
        <f t="shared" si="13"/>
        <v>0.42495238095238097</v>
      </c>
      <c r="P448" s="44">
        <v>14</v>
      </c>
      <c r="Q448" s="44">
        <v>3</v>
      </c>
      <c r="R448" s="44">
        <v>5</v>
      </c>
      <c r="S448" s="44" t="s">
        <v>1067</v>
      </c>
      <c r="T448" s="44" t="s">
        <v>1068</v>
      </c>
      <c r="U448" s="44" t="s">
        <v>2622</v>
      </c>
      <c r="V448" s="44"/>
      <c r="W448" s="44" t="s">
        <v>2623</v>
      </c>
      <c r="X448" s="48" t="s">
        <v>2624</v>
      </c>
      <c r="Y448" s="44" t="s">
        <v>2625</v>
      </c>
    </row>
    <row r="449" spans="1:25" x14ac:dyDescent="0.25">
      <c r="A449" s="44" t="s">
        <v>2553</v>
      </c>
      <c r="B449" s="44" t="s">
        <v>228</v>
      </c>
      <c r="C449" s="44" t="s">
        <v>1840</v>
      </c>
      <c r="D449" s="44" t="s">
        <v>149</v>
      </c>
      <c r="E449" s="44" t="s">
        <v>132</v>
      </c>
      <c r="F449" s="44">
        <v>11</v>
      </c>
      <c r="G449" s="44" t="s">
        <v>111</v>
      </c>
      <c r="H449" s="44" t="s">
        <v>121</v>
      </c>
      <c r="I449" s="44" t="s">
        <v>656</v>
      </c>
      <c r="J449" s="44">
        <v>7</v>
      </c>
      <c r="K449" s="44">
        <v>0</v>
      </c>
      <c r="L449" s="45"/>
      <c r="M449" s="44">
        <v>10500</v>
      </c>
      <c r="N449" s="46">
        <f t="shared" si="12"/>
        <v>6.6666666666666664E-4</v>
      </c>
      <c r="O449" s="47" t="str">
        <f t="shared" si="13"/>
        <v/>
      </c>
      <c r="P449" s="44">
        <v>124</v>
      </c>
      <c r="Q449" s="44">
        <v>5</v>
      </c>
      <c r="R449" s="44">
        <v>11</v>
      </c>
      <c r="S449" s="44" t="s">
        <v>1067</v>
      </c>
      <c r="T449" s="44" t="s">
        <v>1068</v>
      </c>
      <c r="U449" s="44" t="s">
        <v>2626</v>
      </c>
      <c r="V449" s="44"/>
      <c r="W449" s="44" t="s">
        <v>2627</v>
      </c>
      <c r="X449" s="48" t="s">
        <v>2628</v>
      </c>
      <c r="Y449" s="44" t="s">
        <v>2629</v>
      </c>
    </row>
    <row r="450" spans="1:25" x14ac:dyDescent="0.25">
      <c r="A450" s="44" t="s">
        <v>2553</v>
      </c>
      <c r="B450" s="44" t="s">
        <v>228</v>
      </c>
      <c r="C450" s="44" t="s">
        <v>1840</v>
      </c>
      <c r="D450" s="44" t="s">
        <v>149</v>
      </c>
      <c r="E450" s="44" t="s">
        <v>132</v>
      </c>
      <c r="F450" s="44">
        <v>8</v>
      </c>
      <c r="G450" s="44" t="s">
        <v>108</v>
      </c>
      <c r="H450" s="44" t="s">
        <v>121</v>
      </c>
      <c r="I450" s="44" t="s">
        <v>656</v>
      </c>
      <c r="J450" s="44">
        <v>37</v>
      </c>
      <c r="K450" s="44">
        <v>0</v>
      </c>
      <c r="L450" s="45">
        <v>8244</v>
      </c>
      <c r="M450" s="44">
        <v>10500</v>
      </c>
      <c r="N450" s="46">
        <f t="shared" ref="N450:N513" si="14">(J450+K450)/M450</f>
        <v>3.5238095238095237E-3</v>
      </c>
      <c r="O450" s="47">
        <f t="shared" ref="O450:O513" si="15">IF(L450="","",L450/M450)</f>
        <v>0.78514285714285714</v>
      </c>
      <c r="P450" s="44">
        <v>65</v>
      </c>
      <c r="Q450" s="44">
        <v>5</v>
      </c>
      <c r="R450" s="44">
        <v>3</v>
      </c>
      <c r="S450" s="44" t="s">
        <v>1067</v>
      </c>
      <c r="T450" s="44" t="s">
        <v>1067</v>
      </c>
      <c r="U450" s="44" t="s">
        <v>2630</v>
      </c>
      <c r="V450" s="44"/>
      <c r="W450" s="44" t="s">
        <v>2631</v>
      </c>
      <c r="X450" s="48" t="s">
        <v>2632</v>
      </c>
      <c r="Y450" s="44" t="s">
        <v>2633</v>
      </c>
    </row>
    <row r="451" spans="1:25" x14ac:dyDescent="0.25">
      <c r="A451" s="44" t="s">
        <v>2553</v>
      </c>
      <c r="B451" s="44" t="s">
        <v>228</v>
      </c>
      <c r="C451" s="44" t="s">
        <v>1840</v>
      </c>
      <c r="D451" s="44" t="s">
        <v>149</v>
      </c>
      <c r="E451" s="44" t="s">
        <v>132</v>
      </c>
      <c r="F451" s="44">
        <v>6</v>
      </c>
      <c r="G451" s="44" t="s">
        <v>109</v>
      </c>
      <c r="H451" s="44" t="s">
        <v>121</v>
      </c>
      <c r="I451" s="44" t="s">
        <v>656</v>
      </c>
      <c r="J451" s="44">
        <v>132</v>
      </c>
      <c r="K451" s="44">
        <v>43</v>
      </c>
      <c r="L451" s="45"/>
      <c r="M451" s="44">
        <v>10500</v>
      </c>
      <c r="N451" s="46">
        <f t="shared" si="14"/>
        <v>1.6666666666666666E-2</v>
      </c>
      <c r="O451" s="47" t="str">
        <f t="shared" si="15"/>
        <v/>
      </c>
      <c r="P451" s="44">
        <v>234</v>
      </c>
      <c r="Q451" s="44">
        <v>5</v>
      </c>
      <c r="R451" s="44">
        <v>4</v>
      </c>
      <c r="S451" s="44" t="s">
        <v>1067</v>
      </c>
      <c r="T451" s="44" t="s">
        <v>1067</v>
      </c>
      <c r="U451" s="44" t="s">
        <v>2595</v>
      </c>
      <c r="V451" s="44" t="s">
        <v>2553</v>
      </c>
      <c r="W451" s="44" t="s">
        <v>2634</v>
      </c>
      <c r="X451" s="48" t="s">
        <v>2635</v>
      </c>
      <c r="Y451" s="44" t="s">
        <v>2636</v>
      </c>
    </row>
    <row r="452" spans="1:25" x14ac:dyDescent="0.25">
      <c r="A452" s="44" t="s">
        <v>2553</v>
      </c>
      <c r="B452" s="44" t="s">
        <v>228</v>
      </c>
      <c r="C452" s="44" t="s">
        <v>182</v>
      </c>
      <c r="D452" s="44" t="s">
        <v>149</v>
      </c>
      <c r="E452" s="44" t="s">
        <v>130</v>
      </c>
      <c r="F452" s="44">
        <v>11</v>
      </c>
      <c r="G452" s="44" t="s">
        <v>108</v>
      </c>
      <c r="H452" s="44" t="s">
        <v>122</v>
      </c>
      <c r="I452" s="44" t="s">
        <v>650</v>
      </c>
      <c r="J452" s="44">
        <v>124</v>
      </c>
      <c r="K452" s="44">
        <v>0</v>
      </c>
      <c r="L452" s="45">
        <v>7111</v>
      </c>
      <c r="M452" s="44">
        <v>10500</v>
      </c>
      <c r="N452" s="46">
        <f t="shared" si="14"/>
        <v>1.180952380952381E-2</v>
      </c>
      <c r="O452" s="47">
        <f t="shared" si="15"/>
        <v>0.67723809523809519</v>
      </c>
      <c r="P452" s="44">
        <v>44</v>
      </c>
      <c r="Q452" s="44">
        <v>5</v>
      </c>
      <c r="R452" s="44">
        <v>1</v>
      </c>
      <c r="S452" s="44" t="s">
        <v>1067</v>
      </c>
      <c r="T452" s="44" t="s">
        <v>1067</v>
      </c>
      <c r="U452" s="44"/>
      <c r="V452" s="44" t="s">
        <v>2637</v>
      </c>
      <c r="W452" s="44" t="s">
        <v>2638</v>
      </c>
      <c r="X452" s="48" t="s">
        <v>2639</v>
      </c>
      <c r="Y452" s="44" t="s">
        <v>2640</v>
      </c>
    </row>
    <row r="453" spans="1:25" x14ac:dyDescent="0.25">
      <c r="A453" s="44" t="s">
        <v>2553</v>
      </c>
      <c r="B453" s="44" t="s">
        <v>228</v>
      </c>
      <c r="C453" s="44" t="s">
        <v>182</v>
      </c>
      <c r="D453" s="44" t="s">
        <v>149</v>
      </c>
      <c r="E453" s="44" t="s">
        <v>130</v>
      </c>
      <c r="F453" s="44">
        <v>10</v>
      </c>
      <c r="G453" s="44" t="s">
        <v>108</v>
      </c>
      <c r="H453" s="44" t="s">
        <v>119</v>
      </c>
      <c r="I453" s="44" t="s">
        <v>629</v>
      </c>
      <c r="J453" s="44">
        <v>56</v>
      </c>
      <c r="K453" s="44">
        <v>7</v>
      </c>
      <c r="L453" s="45">
        <v>7308</v>
      </c>
      <c r="M453" s="44">
        <v>10500</v>
      </c>
      <c r="N453" s="46">
        <f t="shared" si="14"/>
        <v>6.0000000000000001E-3</v>
      </c>
      <c r="O453" s="47">
        <f t="shared" si="15"/>
        <v>0.69599999999999995</v>
      </c>
      <c r="P453" s="44">
        <v>116</v>
      </c>
      <c r="Q453" s="44">
        <v>5</v>
      </c>
      <c r="R453" s="44">
        <v>5</v>
      </c>
      <c r="S453" s="44" t="s">
        <v>1067</v>
      </c>
      <c r="T453" s="44" t="s">
        <v>1068</v>
      </c>
      <c r="U453" s="44" t="s">
        <v>2641</v>
      </c>
      <c r="V453" s="44"/>
      <c r="W453" s="44" t="s">
        <v>2642</v>
      </c>
      <c r="X453" s="48" t="s">
        <v>2643</v>
      </c>
      <c r="Y453" s="44" t="s">
        <v>2644</v>
      </c>
    </row>
    <row r="454" spans="1:25" x14ac:dyDescent="0.25">
      <c r="A454" s="44" t="s">
        <v>2553</v>
      </c>
      <c r="B454" s="44" t="s">
        <v>228</v>
      </c>
      <c r="C454" s="44" t="s">
        <v>182</v>
      </c>
      <c r="D454" s="44" t="s">
        <v>149</v>
      </c>
      <c r="E454" s="44" t="s">
        <v>130</v>
      </c>
      <c r="F454" s="44">
        <v>9</v>
      </c>
      <c r="G454" s="44" t="s">
        <v>111</v>
      </c>
      <c r="H454" s="44" t="s">
        <v>119</v>
      </c>
      <c r="I454" s="44" t="s">
        <v>656</v>
      </c>
      <c r="J454" s="44">
        <v>49</v>
      </c>
      <c r="K454" s="44">
        <v>2</v>
      </c>
      <c r="L454" s="45"/>
      <c r="M454" s="44">
        <v>10500</v>
      </c>
      <c r="N454" s="46">
        <f t="shared" si="14"/>
        <v>4.8571428571428567E-3</v>
      </c>
      <c r="O454" s="47" t="str">
        <f t="shared" si="15"/>
        <v/>
      </c>
      <c r="P454" s="44">
        <v>102</v>
      </c>
      <c r="Q454" s="44">
        <v>5</v>
      </c>
      <c r="R454" s="44">
        <v>6</v>
      </c>
      <c r="S454" s="44" t="s">
        <v>1067</v>
      </c>
      <c r="T454" s="44" t="s">
        <v>1068</v>
      </c>
      <c r="U454" s="44" t="s">
        <v>2645</v>
      </c>
      <c r="V454" s="44"/>
      <c r="W454" s="44" t="s">
        <v>2646</v>
      </c>
      <c r="X454" s="48" t="s">
        <v>2647</v>
      </c>
      <c r="Y454" s="44" t="s">
        <v>2648</v>
      </c>
    </row>
    <row r="455" spans="1:25" x14ac:dyDescent="0.25">
      <c r="A455" s="44" t="s">
        <v>2553</v>
      </c>
      <c r="B455" s="44" t="s">
        <v>228</v>
      </c>
      <c r="C455" s="44" t="s">
        <v>182</v>
      </c>
      <c r="D455" s="44" t="s">
        <v>149</v>
      </c>
      <c r="E455" s="44" t="s">
        <v>130</v>
      </c>
      <c r="F455" s="44">
        <v>8</v>
      </c>
      <c r="G455" s="44" t="s">
        <v>111</v>
      </c>
      <c r="H455" s="44" t="s">
        <v>117</v>
      </c>
      <c r="I455" s="44" t="s">
        <v>656</v>
      </c>
      <c r="J455" s="44">
        <v>9</v>
      </c>
      <c r="K455" s="44">
        <v>1</v>
      </c>
      <c r="L455" s="45"/>
      <c r="M455" s="44">
        <v>10500</v>
      </c>
      <c r="N455" s="46">
        <f t="shared" si="14"/>
        <v>9.5238095238095238E-4</v>
      </c>
      <c r="O455" s="47" t="str">
        <f t="shared" si="15"/>
        <v/>
      </c>
      <c r="P455" s="44">
        <v>74</v>
      </c>
      <c r="Q455" s="44">
        <v>5</v>
      </c>
      <c r="R455" s="44">
        <v>5</v>
      </c>
      <c r="S455" s="44" t="s">
        <v>1068</v>
      </c>
      <c r="T455" s="44" t="s">
        <v>1068</v>
      </c>
      <c r="U455" s="44" t="s">
        <v>2649</v>
      </c>
      <c r="V455" s="44" t="s">
        <v>2650</v>
      </c>
      <c r="W455" s="44" t="s">
        <v>2651</v>
      </c>
      <c r="X455" s="48" t="s">
        <v>2652</v>
      </c>
      <c r="Y455" s="44" t="s">
        <v>2653</v>
      </c>
    </row>
    <row r="456" spans="1:25" x14ac:dyDescent="0.25">
      <c r="A456" s="44" t="s">
        <v>2553</v>
      </c>
      <c r="B456" s="44" t="s">
        <v>228</v>
      </c>
      <c r="C456" s="44" t="s">
        <v>1844</v>
      </c>
      <c r="D456" s="44" t="s">
        <v>149</v>
      </c>
      <c r="E456" s="44" t="s">
        <v>128</v>
      </c>
      <c r="F456" s="44">
        <v>15</v>
      </c>
      <c r="G456" s="44" t="s">
        <v>109</v>
      </c>
      <c r="H456" s="44" t="s">
        <v>117</v>
      </c>
      <c r="I456" s="44" t="s">
        <v>656</v>
      </c>
      <c r="J456" s="44">
        <v>28</v>
      </c>
      <c r="K456" s="44">
        <v>1</v>
      </c>
      <c r="L456" s="45"/>
      <c r="M456" s="44">
        <v>10500</v>
      </c>
      <c r="N456" s="46">
        <f t="shared" si="14"/>
        <v>2.7619047619047619E-3</v>
      </c>
      <c r="O456" s="47" t="str">
        <f t="shared" si="15"/>
        <v/>
      </c>
      <c r="P456" s="44">
        <v>62</v>
      </c>
      <c r="Q456" s="44">
        <v>5</v>
      </c>
      <c r="R456" s="44">
        <v>4</v>
      </c>
      <c r="S456" s="44" t="s">
        <v>1068</v>
      </c>
      <c r="T456" s="44" t="s">
        <v>1068</v>
      </c>
      <c r="U456" s="44" t="s">
        <v>2654</v>
      </c>
      <c r="V456" s="44"/>
      <c r="W456" s="44" t="s">
        <v>2655</v>
      </c>
      <c r="X456" s="48" t="s">
        <v>2656</v>
      </c>
      <c r="Y456" s="44" t="s">
        <v>2657</v>
      </c>
    </row>
    <row r="457" spans="1:25" x14ac:dyDescent="0.25">
      <c r="A457" s="44" t="s">
        <v>2553</v>
      </c>
      <c r="B457" s="44" t="s">
        <v>228</v>
      </c>
      <c r="C457" s="44" t="s">
        <v>1844</v>
      </c>
      <c r="D457" s="44" t="s">
        <v>149</v>
      </c>
      <c r="E457" s="44" t="s">
        <v>128</v>
      </c>
      <c r="F457" s="44">
        <v>9</v>
      </c>
      <c r="G457" s="44" t="s">
        <v>108</v>
      </c>
      <c r="H457" s="44" t="s">
        <v>120</v>
      </c>
      <c r="I457" s="44" t="s">
        <v>638</v>
      </c>
      <c r="J457" s="44">
        <v>76</v>
      </c>
      <c r="K457" s="44">
        <v>0</v>
      </c>
      <c r="L457" s="45">
        <v>12924</v>
      </c>
      <c r="M457" s="44">
        <v>10500</v>
      </c>
      <c r="N457" s="46">
        <f t="shared" si="14"/>
        <v>7.2380952380952379E-3</v>
      </c>
      <c r="O457" s="47">
        <f t="shared" si="15"/>
        <v>1.2308571428571429</v>
      </c>
      <c r="P457" s="44">
        <v>85</v>
      </c>
      <c r="Q457" s="44">
        <v>5</v>
      </c>
      <c r="R457" s="44">
        <v>5</v>
      </c>
      <c r="S457" s="44" t="s">
        <v>1067</v>
      </c>
      <c r="T457" s="44" t="s">
        <v>1068</v>
      </c>
      <c r="U457" s="44" t="s">
        <v>2658</v>
      </c>
      <c r="V457" s="44"/>
      <c r="W457" s="44" t="s">
        <v>2659</v>
      </c>
      <c r="X457" s="48" t="s">
        <v>2660</v>
      </c>
      <c r="Y457" s="44" t="s">
        <v>2661</v>
      </c>
    </row>
    <row r="458" spans="1:25" x14ac:dyDescent="0.25">
      <c r="A458" s="44" t="s">
        <v>2553</v>
      </c>
      <c r="B458" s="44" t="s">
        <v>228</v>
      </c>
      <c r="C458" s="44" t="s">
        <v>1844</v>
      </c>
      <c r="D458" s="44" t="s">
        <v>149</v>
      </c>
      <c r="E458" s="44" t="s">
        <v>128</v>
      </c>
      <c r="F458" s="44">
        <v>6</v>
      </c>
      <c r="G458" s="44" t="s">
        <v>111</v>
      </c>
      <c r="H458" s="44" t="s">
        <v>121</v>
      </c>
      <c r="I458" s="44" t="s">
        <v>656</v>
      </c>
      <c r="J458" s="44">
        <v>7</v>
      </c>
      <c r="K458" s="44">
        <v>0</v>
      </c>
      <c r="L458" s="45"/>
      <c r="M458" s="44">
        <v>10500</v>
      </c>
      <c r="N458" s="46">
        <f t="shared" si="14"/>
        <v>6.6666666666666664E-4</v>
      </c>
      <c r="O458" s="47" t="str">
        <f t="shared" si="15"/>
        <v/>
      </c>
      <c r="P458" s="44">
        <v>69</v>
      </c>
      <c r="Q458" s="44">
        <v>5</v>
      </c>
      <c r="R458" s="44">
        <v>5</v>
      </c>
      <c r="S458" s="44" t="s">
        <v>1067</v>
      </c>
      <c r="T458" s="44" t="s">
        <v>1068</v>
      </c>
      <c r="U458" s="44" t="s">
        <v>2662</v>
      </c>
      <c r="V458" s="44"/>
      <c r="W458" s="44" t="s">
        <v>2663</v>
      </c>
      <c r="X458" s="48" t="s">
        <v>2664</v>
      </c>
      <c r="Y458" s="44" t="s">
        <v>2665</v>
      </c>
    </row>
    <row r="459" spans="1:25" x14ac:dyDescent="0.25">
      <c r="A459" s="44" t="s">
        <v>2553</v>
      </c>
      <c r="B459" s="44" t="s">
        <v>228</v>
      </c>
      <c r="C459" s="44" t="s">
        <v>1078</v>
      </c>
      <c r="D459" s="44" t="s">
        <v>149</v>
      </c>
      <c r="E459" s="44" t="s">
        <v>126</v>
      </c>
      <c r="F459" s="44">
        <v>9</v>
      </c>
      <c r="G459" s="44" t="s">
        <v>109</v>
      </c>
      <c r="H459" s="44" t="s">
        <v>120</v>
      </c>
      <c r="I459" s="44" t="s">
        <v>638</v>
      </c>
      <c r="J459" s="44">
        <v>49</v>
      </c>
      <c r="K459" s="44">
        <v>1</v>
      </c>
      <c r="L459" s="45"/>
      <c r="M459" s="44">
        <v>10500</v>
      </c>
      <c r="N459" s="46">
        <f t="shared" si="14"/>
        <v>4.7619047619047623E-3</v>
      </c>
      <c r="O459" s="47" t="str">
        <f t="shared" si="15"/>
        <v/>
      </c>
      <c r="P459" s="44">
        <v>91</v>
      </c>
      <c r="Q459" s="44">
        <v>5</v>
      </c>
      <c r="R459" s="44">
        <v>5</v>
      </c>
      <c r="S459" s="44" t="s">
        <v>1067</v>
      </c>
      <c r="T459" s="44" t="s">
        <v>1068</v>
      </c>
      <c r="U459" s="44" t="s">
        <v>2562</v>
      </c>
      <c r="V459" s="44"/>
      <c r="W459" s="44" t="s">
        <v>2666</v>
      </c>
      <c r="X459" s="48" t="s">
        <v>2667</v>
      </c>
      <c r="Y459" s="44" t="s">
        <v>2668</v>
      </c>
    </row>
    <row r="460" spans="1:25" x14ac:dyDescent="0.25">
      <c r="A460" s="44" t="s">
        <v>2553</v>
      </c>
      <c r="B460" s="44" t="s">
        <v>228</v>
      </c>
      <c r="C460" s="44" t="s">
        <v>1078</v>
      </c>
      <c r="D460" s="44" t="s">
        <v>149</v>
      </c>
      <c r="E460" s="44" t="s">
        <v>126</v>
      </c>
      <c r="F460" s="44">
        <v>8</v>
      </c>
      <c r="G460" s="44" t="s">
        <v>108</v>
      </c>
      <c r="H460" s="44" t="s">
        <v>119</v>
      </c>
      <c r="I460" s="44" t="s">
        <v>629</v>
      </c>
      <c r="J460" s="44">
        <v>54</v>
      </c>
      <c r="K460" s="44">
        <v>5</v>
      </c>
      <c r="L460" s="45">
        <v>2186</v>
      </c>
      <c r="M460" s="44">
        <v>10500</v>
      </c>
      <c r="N460" s="46">
        <f t="shared" si="14"/>
        <v>5.619047619047619E-3</v>
      </c>
      <c r="O460" s="47">
        <f t="shared" si="15"/>
        <v>0.2081904761904762</v>
      </c>
      <c r="P460" s="44">
        <v>74</v>
      </c>
      <c r="Q460" s="44">
        <v>0</v>
      </c>
      <c r="R460" s="44">
        <v>8</v>
      </c>
      <c r="S460" s="44" t="s">
        <v>1068</v>
      </c>
      <c r="T460" s="44" t="s">
        <v>1068</v>
      </c>
      <c r="U460" s="44"/>
      <c r="V460" s="44" t="s">
        <v>2669</v>
      </c>
      <c r="W460" s="44" t="s">
        <v>2670</v>
      </c>
      <c r="X460" s="48" t="s">
        <v>2671</v>
      </c>
      <c r="Y460" s="44" t="s">
        <v>2672</v>
      </c>
    </row>
    <row r="461" spans="1:25" x14ac:dyDescent="0.25">
      <c r="A461" s="44" t="s">
        <v>2553</v>
      </c>
      <c r="B461" s="44" t="s">
        <v>228</v>
      </c>
      <c r="C461" s="44" t="s">
        <v>1078</v>
      </c>
      <c r="D461" s="44" t="s">
        <v>149</v>
      </c>
      <c r="E461" s="44" t="s">
        <v>126</v>
      </c>
      <c r="F461" s="44">
        <v>7</v>
      </c>
      <c r="G461" s="44" t="s">
        <v>111</v>
      </c>
      <c r="H461" s="44" t="s">
        <v>117</v>
      </c>
      <c r="I461" s="44" t="s">
        <v>656</v>
      </c>
      <c r="J461" s="44">
        <v>6</v>
      </c>
      <c r="K461" s="44">
        <v>0</v>
      </c>
      <c r="L461" s="45"/>
      <c r="M461" s="44">
        <v>10500</v>
      </c>
      <c r="N461" s="46">
        <f t="shared" si="14"/>
        <v>5.7142857142857147E-4</v>
      </c>
      <c r="O461" s="47" t="str">
        <f t="shared" si="15"/>
        <v/>
      </c>
      <c r="P461" s="44">
        <v>75</v>
      </c>
      <c r="Q461" s="44">
        <v>4</v>
      </c>
      <c r="R461" s="44">
        <v>4</v>
      </c>
      <c r="S461" s="44" t="s">
        <v>1067</v>
      </c>
      <c r="T461" s="44" t="s">
        <v>1068</v>
      </c>
      <c r="U461" s="44" t="s">
        <v>2673</v>
      </c>
      <c r="V461" s="44"/>
      <c r="W461" s="44" t="s">
        <v>2674</v>
      </c>
      <c r="X461" s="48" t="s">
        <v>2675</v>
      </c>
      <c r="Y461" s="44" t="s">
        <v>2676</v>
      </c>
    </row>
    <row r="462" spans="1:25" x14ac:dyDescent="0.25">
      <c r="A462" s="44" t="s">
        <v>2553</v>
      </c>
      <c r="B462" s="44" t="s">
        <v>228</v>
      </c>
      <c r="C462" s="44" t="s">
        <v>1470</v>
      </c>
      <c r="D462" s="44" t="s">
        <v>149</v>
      </c>
      <c r="E462" s="44" t="s">
        <v>137</v>
      </c>
      <c r="F462" s="44">
        <v>12</v>
      </c>
      <c r="G462" s="44" t="s">
        <v>108</v>
      </c>
      <c r="H462" s="44" t="s">
        <v>122</v>
      </c>
      <c r="I462" s="44" t="s">
        <v>656</v>
      </c>
      <c r="J462" s="44">
        <v>71</v>
      </c>
      <c r="K462" s="44">
        <v>3</v>
      </c>
      <c r="L462" s="45">
        <v>3098</v>
      </c>
      <c r="M462" s="44">
        <v>10500</v>
      </c>
      <c r="N462" s="46">
        <f t="shared" si="14"/>
        <v>7.0476190476190474E-3</v>
      </c>
      <c r="O462" s="47">
        <f t="shared" si="15"/>
        <v>0.29504761904761906</v>
      </c>
      <c r="P462" s="44">
        <v>43</v>
      </c>
      <c r="Q462" s="44">
        <v>5</v>
      </c>
      <c r="R462" s="44">
        <v>5</v>
      </c>
      <c r="S462" s="44" t="s">
        <v>1067</v>
      </c>
      <c r="T462" s="44" t="s">
        <v>1067</v>
      </c>
      <c r="U462" s="44" t="s">
        <v>2677</v>
      </c>
      <c r="V462" s="44"/>
      <c r="W462" s="44" t="s">
        <v>2678</v>
      </c>
      <c r="X462" s="48" t="s">
        <v>2679</v>
      </c>
      <c r="Y462" s="44" t="s">
        <v>2680</v>
      </c>
    </row>
    <row r="463" spans="1:25" x14ac:dyDescent="0.25">
      <c r="A463" s="44" t="s">
        <v>2553</v>
      </c>
      <c r="B463" s="44" t="s">
        <v>228</v>
      </c>
      <c r="C463" s="44" t="s">
        <v>1848</v>
      </c>
      <c r="D463" s="44" t="s">
        <v>149</v>
      </c>
      <c r="E463" s="44" t="s">
        <v>134</v>
      </c>
      <c r="F463" s="44">
        <v>17</v>
      </c>
      <c r="G463" s="44" t="s">
        <v>108</v>
      </c>
      <c r="H463" s="44" t="s">
        <v>114</v>
      </c>
      <c r="I463" s="44" t="s">
        <v>656</v>
      </c>
      <c r="J463" s="44">
        <v>43</v>
      </c>
      <c r="K463" s="44">
        <v>3</v>
      </c>
      <c r="L463" s="45">
        <v>2293</v>
      </c>
      <c r="M463" s="44">
        <v>10500</v>
      </c>
      <c r="N463" s="46">
        <f t="shared" si="14"/>
        <v>4.3809523809523812E-3</v>
      </c>
      <c r="O463" s="47">
        <f t="shared" si="15"/>
        <v>0.21838095238095237</v>
      </c>
      <c r="P463" s="44">
        <v>84</v>
      </c>
      <c r="Q463" s="44">
        <v>3</v>
      </c>
      <c r="R463" s="44">
        <v>6</v>
      </c>
      <c r="S463" s="44" t="s">
        <v>1068</v>
      </c>
      <c r="T463" s="44" t="s">
        <v>1067</v>
      </c>
      <c r="U463" s="44"/>
      <c r="V463" s="44" t="s">
        <v>2553</v>
      </c>
      <c r="W463" s="44" t="s">
        <v>2681</v>
      </c>
      <c r="X463" s="48" t="s">
        <v>2682</v>
      </c>
      <c r="Y463" s="44" t="s">
        <v>2683</v>
      </c>
    </row>
    <row r="464" spans="1:25" x14ac:dyDescent="0.25">
      <c r="A464" s="44" t="s">
        <v>2553</v>
      </c>
      <c r="B464" s="44" t="s">
        <v>228</v>
      </c>
      <c r="C464" s="44" t="s">
        <v>1848</v>
      </c>
      <c r="D464" s="44" t="s">
        <v>149</v>
      </c>
      <c r="E464" s="44" t="s">
        <v>134</v>
      </c>
      <c r="F464" s="44">
        <v>14</v>
      </c>
      <c r="G464" s="44" t="s">
        <v>108</v>
      </c>
      <c r="H464" s="44" t="s">
        <v>122</v>
      </c>
      <c r="I464" s="44" t="s">
        <v>656</v>
      </c>
      <c r="J464" s="44">
        <v>35</v>
      </c>
      <c r="K464" s="44">
        <v>2</v>
      </c>
      <c r="L464" s="45">
        <v>3595</v>
      </c>
      <c r="M464" s="44">
        <v>10500</v>
      </c>
      <c r="N464" s="46">
        <f t="shared" si="14"/>
        <v>3.5238095238095237E-3</v>
      </c>
      <c r="O464" s="47">
        <f t="shared" si="15"/>
        <v>0.3423809523809524</v>
      </c>
      <c r="P464" s="44">
        <v>12</v>
      </c>
      <c r="Q464" s="44">
        <v>5</v>
      </c>
      <c r="R464" s="44">
        <v>2</v>
      </c>
      <c r="S464" s="44" t="s">
        <v>1068</v>
      </c>
      <c r="T464" s="44" t="s">
        <v>1068</v>
      </c>
      <c r="U464" s="44" t="s">
        <v>2684</v>
      </c>
      <c r="V464" s="44"/>
      <c r="W464" s="44" t="s">
        <v>2685</v>
      </c>
      <c r="X464" s="48" t="s">
        <v>2686</v>
      </c>
      <c r="Y464" s="44" t="s">
        <v>2687</v>
      </c>
    </row>
    <row r="465" spans="1:25" x14ac:dyDescent="0.25">
      <c r="A465" s="44" t="s">
        <v>2553</v>
      </c>
      <c r="B465" s="44" t="s">
        <v>228</v>
      </c>
      <c r="C465" s="44" t="s">
        <v>1848</v>
      </c>
      <c r="D465" s="44" t="s">
        <v>149</v>
      </c>
      <c r="E465" s="44" t="s">
        <v>134</v>
      </c>
      <c r="F465" s="44">
        <v>13</v>
      </c>
      <c r="G465" s="44" t="s">
        <v>108</v>
      </c>
      <c r="H465" s="44" t="s">
        <v>122</v>
      </c>
      <c r="I465" s="44" t="s">
        <v>656</v>
      </c>
      <c r="J465" s="44">
        <v>28</v>
      </c>
      <c r="K465" s="44">
        <v>3</v>
      </c>
      <c r="L465" s="45">
        <v>1498</v>
      </c>
      <c r="M465" s="44">
        <v>10500</v>
      </c>
      <c r="N465" s="46">
        <f t="shared" si="14"/>
        <v>2.9523809523809524E-3</v>
      </c>
      <c r="O465" s="47">
        <f t="shared" si="15"/>
        <v>0.14266666666666666</v>
      </c>
      <c r="P465" s="44">
        <v>35</v>
      </c>
      <c r="Q465" s="44">
        <v>5</v>
      </c>
      <c r="R465" s="44">
        <v>4</v>
      </c>
      <c r="S465" s="44" t="s">
        <v>1068</v>
      </c>
      <c r="T465" s="44" t="s">
        <v>1068</v>
      </c>
      <c r="U465" s="44" t="s">
        <v>2688</v>
      </c>
      <c r="V465" s="44"/>
      <c r="W465" s="44" t="s">
        <v>2689</v>
      </c>
      <c r="X465" s="48" t="s">
        <v>2690</v>
      </c>
      <c r="Y465" s="44" t="s">
        <v>2691</v>
      </c>
    </row>
    <row r="466" spans="1:25" x14ac:dyDescent="0.25">
      <c r="A466" s="44" t="s">
        <v>2553</v>
      </c>
      <c r="B466" s="44" t="s">
        <v>228</v>
      </c>
      <c r="C466" s="44" t="s">
        <v>1848</v>
      </c>
      <c r="D466" s="44" t="s">
        <v>149</v>
      </c>
      <c r="E466" s="44" t="s">
        <v>134</v>
      </c>
      <c r="F466" s="44">
        <v>9</v>
      </c>
      <c r="G466" s="44" t="s">
        <v>111</v>
      </c>
      <c r="H466" s="44" t="s">
        <v>117</v>
      </c>
      <c r="I466" s="44" t="s">
        <v>656</v>
      </c>
      <c r="J466" s="44">
        <v>6</v>
      </c>
      <c r="K466" s="44">
        <v>0</v>
      </c>
      <c r="L466" s="45"/>
      <c r="M466" s="44">
        <v>10500</v>
      </c>
      <c r="N466" s="46">
        <f t="shared" si="14"/>
        <v>5.7142857142857147E-4</v>
      </c>
      <c r="O466" s="47" t="str">
        <f t="shared" si="15"/>
        <v/>
      </c>
      <c r="P466" s="44">
        <v>82</v>
      </c>
      <c r="Q466" s="44">
        <v>5</v>
      </c>
      <c r="R466" s="44">
        <v>12</v>
      </c>
      <c r="S466" s="44" t="s">
        <v>1067</v>
      </c>
      <c r="T466" s="44" t="s">
        <v>1068</v>
      </c>
      <c r="U466" s="44" t="s">
        <v>2692</v>
      </c>
      <c r="V466" s="44"/>
      <c r="W466" s="44" t="s">
        <v>2693</v>
      </c>
      <c r="X466" s="48" t="s">
        <v>2694</v>
      </c>
      <c r="Y466" s="44" t="s">
        <v>2695</v>
      </c>
    </row>
    <row r="467" spans="1:25" x14ac:dyDescent="0.25">
      <c r="A467" s="44" t="s">
        <v>2553</v>
      </c>
      <c r="B467" s="44" t="s">
        <v>228</v>
      </c>
      <c r="C467" s="44" t="s">
        <v>1474</v>
      </c>
      <c r="D467" s="44" t="s">
        <v>149</v>
      </c>
      <c r="E467" s="44" t="s">
        <v>132</v>
      </c>
      <c r="F467" s="44">
        <v>13</v>
      </c>
      <c r="G467" s="44" t="s">
        <v>108</v>
      </c>
      <c r="H467" s="44" t="s">
        <v>121</v>
      </c>
      <c r="I467" s="44" t="s">
        <v>656</v>
      </c>
      <c r="J467" s="44">
        <v>146</v>
      </c>
      <c r="K467" s="44">
        <v>2</v>
      </c>
      <c r="L467" s="45">
        <v>10039</v>
      </c>
      <c r="M467" s="44">
        <v>10500</v>
      </c>
      <c r="N467" s="46">
        <f t="shared" si="14"/>
        <v>1.4095238095238095E-2</v>
      </c>
      <c r="O467" s="47">
        <f t="shared" si="15"/>
        <v>0.95609523809523811</v>
      </c>
      <c r="P467" s="44">
        <v>11</v>
      </c>
      <c r="Q467" s="44">
        <v>3</v>
      </c>
      <c r="R467" s="44">
        <v>3</v>
      </c>
      <c r="S467" s="44" t="s">
        <v>1068</v>
      </c>
      <c r="T467" s="44" t="s">
        <v>1068</v>
      </c>
      <c r="U467" s="44"/>
      <c r="V467" s="44" t="s">
        <v>2553</v>
      </c>
      <c r="W467" s="44" t="s">
        <v>2696</v>
      </c>
      <c r="X467" s="48" t="s">
        <v>2697</v>
      </c>
      <c r="Y467" s="44" t="s">
        <v>2696</v>
      </c>
    </row>
    <row r="468" spans="1:25" x14ac:dyDescent="0.25">
      <c r="A468" s="44" t="s">
        <v>2553</v>
      </c>
      <c r="B468" s="44" t="s">
        <v>228</v>
      </c>
      <c r="C468" s="44" t="s">
        <v>1474</v>
      </c>
      <c r="D468" s="44" t="s">
        <v>149</v>
      </c>
      <c r="E468" s="44" t="s">
        <v>132</v>
      </c>
      <c r="F468" s="44">
        <v>12</v>
      </c>
      <c r="G468" s="44" t="s">
        <v>111</v>
      </c>
      <c r="H468" s="44" t="s">
        <v>119</v>
      </c>
      <c r="I468" s="44" t="s">
        <v>656</v>
      </c>
      <c r="J468" s="44">
        <v>66</v>
      </c>
      <c r="K468" s="44">
        <v>9</v>
      </c>
      <c r="L468" s="45"/>
      <c r="M468" s="44">
        <v>10500</v>
      </c>
      <c r="N468" s="46">
        <f t="shared" si="14"/>
        <v>7.1428571428571426E-3</v>
      </c>
      <c r="O468" s="47" t="str">
        <f t="shared" si="15"/>
        <v/>
      </c>
      <c r="P468" s="44">
        <v>62</v>
      </c>
      <c r="Q468" s="44">
        <v>4</v>
      </c>
      <c r="R468" s="44">
        <v>10</v>
      </c>
      <c r="S468" s="44" t="s">
        <v>1067</v>
      </c>
      <c r="T468" s="44" t="s">
        <v>1068</v>
      </c>
      <c r="U468" s="44" t="s">
        <v>2698</v>
      </c>
      <c r="V468" s="44" t="s">
        <v>2699</v>
      </c>
      <c r="W468" s="44" t="s">
        <v>2700</v>
      </c>
      <c r="X468" s="48" t="s">
        <v>2701</v>
      </c>
      <c r="Y468" s="44" t="s">
        <v>2702</v>
      </c>
    </row>
    <row r="469" spans="1:25" x14ac:dyDescent="0.25">
      <c r="A469" s="44" t="s">
        <v>2553</v>
      </c>
      <c r="B469" s="44" t="s">
        <v>228</v>
      </c>
      <c r="C469" s="44" t="s">
        <v>1474</v>
      </c>
      <c r="D469" s="44" t="s">
        <v>149</v>
      </c>
      <c r="E469" s="44" t="s">
        <v>132</v>
      </c>
      <c r="F469" s="44">
        <v>10</v>
      </c>
      <c r="G469" s="44" t="s">
        <v>109</v>
      </c>
      <c r="H469" s="44" t="s">
        <v>116</v>
      </c>
      <c r="I469" s="44" t="s">
        <v>629</v>
      </c>
      <c r="J469" s="44">
        <v>39</v>
      </c>
      <c r="K469" s="44">
        <v>0</v>
      </c>
      <c r="L469" s="45"/>
      <c r="M469" s="44">
        <v>10500</v>
      </c>
      <c r="N469" s="46">
        <f t="shared" si="14"/>
        <v>3.7142857142857142E-3</v>
      </c>
      <c r="O469" s="47" t="str">
        <f t="shared" si="15"/>
        <v/>
      </c>
      <c r="P469" s="44">
        <v>32</v>
      </c>
      <c r="Q469" s="44">
        <v>0</v>
      </c>
      <c r="R469" s="44">
        <v>1</v>
      </c>
      <c r="S469" s="44" t="s">
        <v>1067</v>
      </c>
      <c r="T469" s="44" t="s">
        <v>1068</v>
      </c>
      <c r="U469" s="44"/>
      <c r="V469" s="44" t="s">
        <v>2602</v>
      </c>
      <c r="W469" s="44" t="s">
        <v>2703</v>
      </c>
      <c r="X469" s="48" t="s">
        <v>2704</v>
      </c>
      <c r="Y469" s="44" t="s">
        <v>2705</v>
      </c>
    </row>
    <row r="470" spans="1:25" x14ac:dyDescent="0.25">
      <c r="A470" s="44" t="s">
        <v>2553</v>
      </c>
      <c r="B470" s="44" t="s">
        <v>228</v>
      </c>
      <c r="C470" s="44" t="s">
        <v>1474</v>
      </c>
      <c r="D470" s="44" t="s">
        <v>149</v>
      </c>
      <c r="E470" s="44" t="s">
        <v>132</v>
      </c>
      <c r="F470" s="44">
        <v>9</v>
      </c>
      <c r="G470" s="44" t="s">
        <v>108</v>
      </c>
      <c r="H470" s="44" t="s">
        <v>119</v>
      </c>
      <c r="I470" s="44" t="s">
        <v>629</v>
      </c>
      <c r="J470" s="44">
        <v>36</v>
      </c>
      <c r="K470" s="44">
        <v>1</v>
      </c>
      <c r="L470" s="45">
        <v>1744</v>
      </c>
      <c r="M470" s="44">
        <v>10500</v>
      </c>
      <c r="N470" s="46">
        <f t="shared" si="14"/>
        <v>3.5238095238095237E-3</v>
      </c>
      <c r="O470" s="47">
        <f t="shared" si="15"/>
        <v>0.1660952380952381</v>
      </c>
      <c r="P470" s="44">
        <v>214</v>
      </c>
      <c r="Q470" s="44">
        <v>5</v>
      </c>
      <c r="R470" s="44">
        <v>9</v>
      </c>
      <c r="S470" s="44" t="s">
        <v>1067</v>
      </c>
      <c r="T470" s="44" t="s">
        <v>1067</v>
      </c>
      <c r="U470" s="44" t="s">
        <v>2692</v>
      </c>
      <c r="V470" s="44"/>
      <c r="W470" s="44" t="s">
        <v>2706</v>
      </c>
      <c r="X470" s="48" t="s">
        <v>2707</v>
      </c>
      <c r="Y470" s="44" t="s">
        <v>2708</v>
      </c>
    </row>
    <row r="471" spans="1:25" x14ac:dyDescent="0.25">
      <c r="A471" s="44" t="s">
        <v>2553</v>
      </c>
      <c r="B471" s="44" t="s">
        <v>228</v>
      </c>
      <c r="C471" s="44" t="s">
        <v>1478</v>
      </c>
      <c r="D471" s="44" t="s">
        <v>148</v>
      </c>
      <c r="E471" s="44" t="s">
        <v>130</v>
      </c>
      <c r="F471" s="44">
        <v>17</v>
      </c>
      <c r="G471" s="44" t="s">
        <v>108</v>
      </c>
      <c r="H471" s="44" t="s">
        <v>114</v>
      </c>
      <c r="I471" s="44" t="s">
        <v>650</v>
      </c>
      <c r="J471" s="44">
        <v>99</v>
      </c>
      <c r="K471" s="44">
        <v>82</v>
      </c>
      <c r="L471" s="45">
        <v>7017</v>
      </c>
      <c r="M471" s="44">
        <v>10500</v>
      </c>
      <c r="N471" s="46">
        <f t="shared" si="14"/>
        <v>1.7238095238095236E-2</v>
      </c>
      <c r="O471" s="47">
        <f t="shared" si="15"/>
        <v>0.66828571428571426</v>
      </c>
      <c r="P471" s="44">
        <v>78</v>
      </c>
      <c r="Q471" s="44">
        <v>5</v>
      </c>
      <c r="R471" s="44">
        <v>4</v>
      </c>
      <c r="S471" s="44" t="s">
        <v>1067</v>
      </c>
      <c r="T471" s="44" t="s">
        <v>1067</v>
      </c>
      <c r="U471" s="44" t="s">
        <v>2595</v>
      </c>
      <c r="V471" s="44" t="s">
        <v>2553</v>
      </c>
      <c r="W471" s="44" t="s">
        <v>2709</v>
      </c>
      <c r="X471" s="48" t="s">
        <v>2710</v>
      </c>
      <c r="Y471" s="44" t="s">
        <v>2711</v>
      </c>
    </row>
    <row r="472" spans="1:25" x14ac:dyDescent="0.25">
      <c r="A472" s="44" t="s">
        <v>2553</v>
      </c>
      <c r="B472" s="44" t="s">
        <v>228</v>
      </c>
      <c r="C472" s="44" t="s">
        <v>1478</v>
      </c>
      <c r="D472" s="44" t="s">
        <v>148</v>
      </c>
      <c r="E472" s="44" t="s">
        <v>130</v>
      </c>
      <c r="F472" s="44">
        <v>15</v>
      </c>
      <c r="G472" s="44" t="s">
        <v>109</v>
      </c>
      <c r="H472" s="44" t="s">
        <v>117</v>
      </c>
      <c r="I472" s="44" t="s">
        <v>656</v>
      </c>
      <c r="J472" s="44">
        <v>92</v>
      </c>
      <c r="K472" s="44">
        <v>8</v>
      </c>
      <c r="L472" s="45"/>
      <c r="M472" s="44">
        <v>10500</v>
      </c>
      <c r="N472" s="46">
        <f t="shared" si="14"/>
        <v>9.5238095238095247E-3</v>
      </c>
      <c r="O472" s="47" t="str">
        <f t="shared" si="15"/>
        <v/>
      </c>
      <c r="P472" s="44">
        <v>59</v>
      </c>
      <c r="Q472" s="44">
        <v>0</v>
      </c>
      <c r="R472" s="44">
        <v>0</v>
      </c>
      <c r="S472" s="44" t="s">
        <v>1068</v>
      </c>
      <c r="T472" s="44" t="s">
        <v>1068</v>
      </c>
      <c r="U472" s="44"/>
      <c r="V472" s="44" t="s">
        <v>2553</v>
      </c>
      <c r="W472" s="44" t="s">
        <v>2712</v>
      </c>
      <c r="X472" s="48" t="s">
        <v>2713</v>
      </c>
      <c r="Y472" s="44" t="s">
        <v>2714</v>
      </c>
    </row>
    <row r="473" spans="1:25" x14ac:dyDescent="0.25">
      <c r="A473" s="44" t="s">
        <v>2553</v>
      </c>
      <c r="B473" s="44" t="s">
        <v>228</v>
      </c>
      <c r="C473" s="44" t="s">
        <v>1478</v>
      </c>
      <c r="D473" s="44" t="s">
        <v>148</v>
      </c>
      <c r="E473" s="44" t="s">
        <v>130</v>
      </c>
      <c r="F473" s="44">
        <v>14</v>
      </c>
      <c r="G473" s="44" t="s">
        <v>111</v>
      </c>
      <c r="H473" s="44" t="s">
        <v>119</v>
      </c>
      <c r="I473" s="44" t="s">
        <v>656</v>
      </c>
      <c r="J473" s="44">
        <v>8</v>
      </c>
      <c r="K473" s="44">
        <v>0</v>
      </c>
      <c r="L473" s="45"/>
      <c r="M473" s="44">
        <v>10500</v>
      </c>
      <c r="N473" s="46">
        <f t="shared" si="14"/>
        <v>7.6190476190476193E-4</v>
      </c>
      <c r="O473" s="47" t="str">
        <f t="shared" si="15"/>
        <v/>
      </c>
      <c r="P473" s="44">
        <v>133</v>
      </c>
      <c r="Q473" s="44">
        <v>5</v>
      </c>
      <c r="R473" s="44">
        <v>5</v>
      </c>
      <c r="S473" s="44" t="s">
        <v>1067</v>
      </c>
      <c r="T473" s="44" t="s">
        <v>1068</v>
      </c>
      <c r="U473" s="44" t="s">
        <v>2715</v>
      </c>
      <c r="V473" s="44"/>
      <c r="W473" s="44" t="s">
        <v>2716</v>
      </c>
      <c r="X473" s="48" t="s">
        <v>2717</v>
      </c>
      <c r="Y473" s="44" t="s">
        <v>2718</v>
      </c>
    </row>
    <row r="474" spans="1:25" x14ac:dyDescent="0.25">
      <c r="A474" s="44" t="s">
        <v>2553</v>
      </c>
      <c r="B474" s="44" t="s">
        <v>228</v>
      </c>
      <c r="C474" s="44" t="s">
        <v>1478</v>
      </c>
      <c r="D474" s="44" t="s">
        <v>148</v>
      </c>
      <c r="E474" s="44" t="s">
        <v>130</v>
      </c>
      <c r="F474" s="44">
        <v>11</v>
      </c>
      <c r="G474" s="44" t="s">
        <v>108</v>
      </c>
      <c r="H474" s="44" t="s">
        <v>114</v>
      </c>
      <c r="I474" s="44" t="s">
        <v>656</v>
      </c>
      <c r="J474" s="44">
        <v>44</v>
      </c>
      <c r="K474" s="44">
        <v>5</v>
      </c>
      <c r="L474" s="45">
        <v>2339</v>
      </c>
      <c r="M474" s="44">
        <v>10500</v>
      </c>
      <c r="N474" s="46">
        <f t="shared" si="14"/>
        <v>4.6666666666666671E-3</v>
      </c>
      <c r="O474" s="47">
        <f t="shared" si="15"/>
        <v>0.22276190476190477</v>
      </c>
      <c r="P474" s="44">
        <v>98</v>
      </c>
      <c r="Q474" s="44">
        <v>5</v>
      </c>
      <c r="R474" s="44">
        <v>3</v>
      </c>
      <c r="S474" s="44" t="s">
        <v>1067</v>
      </c>
      <c r="T474" s="44" t="s">
        <v>1068</v>
      </c>
      <c r="U474" s="44" t="s">
        <v>2719</v>
      </c>
      <c r="V474" s="44"/>
      <c r="W474" s="44" t="s">
        <v>2720</v>
      </c>
      <c r="X474" s="48" t="s">
        <v>2721</v>
      </c>
      <c r="Y474" s="44" t="s">
        <v>2722</v>
      </c>
    </row>
    <row r="475" spans="1:25" x14ac:dyDescent="0.25">
      <c r="A475" s="44" t="s">
        <v>2553</v>
      </c>
      <c r="B475" s="44" t="s">
        <v>228</v>
      </c>
      <c r="C475" s="44" t="s">
        <v>1478</v>
      </c>
      <c r="D475" s="44" t="s">
        <v>148</v>
      </c>
      <c r="E475" s="44" t="s">
        <v>130</v>
      </c>
      <c r="F475" s="44">
        <v>7</v>
      </c>
      <c r="G475" s="44" t="s">
        <v>111</v>
      </c>
      <c r="H475" s="44" t="s">
        <v>119</v>
      </c>
      <c r="I475" s="44" t="s">
        <v>656</v>
      </c>
      <c r="J475" s="44">
        <v>89</v>
      </c>
      <c r="K475" s="44">
        <v>2</v>
      </c>
      <c r="L475" s="45"/>
      <c r="M475" s="44">
        <v>10500</v>
      </c>
      <c r="N475" s="46">
        <f t="shared" si="14"/>
        <v>8.6666666666666663E-3</v>
      </c>
      <c r="O475" s="47" t="str">
        <f t="shared" si="15"/>
        <v/>
      </c>
      <c r="P475" s="44">
        <v>85</v>
      </c>
      <c r="Q475" s="44">
        <v>5</v>
      </c>
      <c r="R475" s="44">
        <v>1</v>
      </c>
      <c r="S475" s="44" t="s">
        <v>1067</v>
      </c>
      <c r="T475" s="44" t="s">
        <v>1068</v>
      </c>
      <c r="U475" s="44" t="s">
        <v>2723</v>
      </c>
      <c r="V475" s="44"/>
      <c r="W475" s="44" t="s">
        <v>2724</v>
      </c>
      <c r="X475" s="48" t="s">
        <v>2725</v>
      </c>
      <c r="Y475" s="44" t="s">
        <v>2726</v>
      </c>
    </row>
    <row r="476" spans="1:25" x14ac:dyDescent="0.25">
      <c r="A476" s="44" t="s">
        <v>2553</v>
      </c>
      <c r="B476" s="44" t="s">
        <v>228</v>
      </c>
      <c r="C476" s="44" t="s">
        <v>1086</v>
      </c>
      <c r="D476" s="44" t="s">
        <v>148</v>
      </c>
      <c r="E476" s="44" t="s">
        <v>128</v>
      </c>
      <c r="F476" s="44">
        <v>11</v>
      </c>
      <c r="G476" s="44" t="s">
        <v>109</v>
      </c>
      <c r="H476" s="44" t="s">
        <v>115</v>
      </c>
      <c r="I476" s="44" t="s">
        <v>656</v>
      </c>
      <c r="J476" s="44">
        <v>19</v>
      </c>
      <c r="K476" s="44">
        <v>0</v>
      </c>
      <c r="L476" s="45"/>
      <c r="M476" s="44">
        <v>10500</v>
      </c>
      <c r="N476" s="46">
        <f t="shared" si="14"/>
        <v>1.8095238095238095E-3</v>
      </c>
      <c r="O476" s="47" t="str">
        <f t="shared" si="15"/>
        <v/>
      </c>
      <c r="P476" s="44">
        <v>59</v>
      </c>
      <c r="Q476" s="44">
        <v>5</v>
      </c>
      <c r="R476" s="44">
        <v>0</v>
      </c>
      <c r="S476" s="44" t="s">
        <v>1068</v>
      </c>
      <c r="T476" s="44" t="s">
        <v>1067</v>
      </c>
      <c r="U476" s="44"/>
      <c r="V476" s="44"/>
      <c r="W476" s="44" t="s">
        <v>2727</v>
      </c>
      <c r="X476" s="48" t="s">
        <v>2728</v>
      </c>
      <c r="Y476" s="44" t="s">
        <v>2729</v>
      </c>
    </row>
    <row r="477" spans="1:25" x14ac:dyDescent="0.25">
      <c r="A477" s="44" t="s">
        <v>2553</v>
      </c>
      <c r="B477" s="44" t="s">
        <v>228</v>
      </c>
      <c r="C477" s="44" t="s">
        <v>1086</v>
      </c>
      <c r="D477" s="44" t="s">
        <v>148</v>
      </c>
      <c r="E477" s="44" t="s">
        <v>128</v>
      </c>
      <c r="F477" s="44">
        <v>9</v>
      </c>
      <c r="G477" s="44" t="s">
        <v>111</v>
      </c>
      <c r="H477" s="44" t="s">
        <v>117</v>
      </c>
      <c r="I477" s="44" t="s">
        <v>656</v>
      </c>
      <c r="J477" s="44">
        <v>7</v>
      </c>
      <c r="K477" s="44">
        <v>0</v>
      </c>
      <c r="L477" s="45"/>
      <c r="M477" s="44">
        <v>10500</v>
      </c>
      <c r="N477" s="46">
        <f t="shared" si="14"/>
        <v>6.6666666666666664E-4</v>
      </c>
      <c r="O477" s="47" t="str">
        <f t="shared" si="15"/>
        <v/>
      </c>
      <c r="P477" s="44">
        <v>139</v>
      </c>
      <c r="Q477" s="44">
        <v>5</v>
      </c>
      <c r="R477" s="44">
        <v>7</v>
      </c>
      <c r="S477" s="44" t="s">
        <v>1067</v>
      </c>
      <c r="T477" s="44" t="s">
        <v>1068</v>
      </c>
      <c r="U477" s="44" t="s">
        <v>2730</v>
      </c>
      <c r="V477" s="44"/>
      <c r="W477" s="44" t="s">
        <v>2731</v>
      </c>
      <c r="X477" s="48" t="s">
        <v>2732</v>
      </c>
      <c r="Y477" s="44" t="s">
        <v>2733</v>
      </c>
    </row>
    <row r="478" spans="1:25" x14ac:dyDescent="0.25">
      <c r="A478" s="44" t="s">
        <v>2553</v>
      </c>
      <c r="B478" s="44" t="s">
        <v>228</v>
      </c>
      <c r="C478" s="44" t="s">
        <v>1086</v>
      </c>
      <c r="D478" s="44" t="s">
        <v>148</v>
      </c>
      <c r="E478" s="44" t="s">
        <v>128</v>
      </c>
      <c r="F478" s="44">
        <v>8</v>
      </c>
      <c r="G478" s="44" t="s">
        <v>111</v>
      </c>
      <c r="H478" s="44" t="s">
        <v>120</v>
      </c>
      <c r="I478" s="44" t="s">
        <v>656</v>
      </c>
      <c r="J478" s="44">
        <v>20</v>
      </c>
      <c r="K478" s="44">
        <v>2</v>
      </c>
      <c r="L478" s="45"/>
      <c r="M478" s="44">
        <v>10500</v>
      </c>
      <c r="N478" s="46">
        <f t="shared" si="14"/>
        <v>2.0952380952380953E-3</v>
      </c>
      <c r="O478" s="47" t="str">
        <f t="shared" si="15"/>
        <v/>
      </c>
      <c r="P478" s="44">
        <v>60</v>
      </c>
      <c r="Q478" s="44">
        <v>5</v>
      </c>
      <c r="R478" s="44">
        <v>1</v>
      </c>
      <c r="S478" s="44" t="s">
        <v>1067</v>
      </c>
      <c r="T478" s="44" t="s">
        <v>1068</v>
      </c>
      <c r="U478" s="44" t="s">
        <v>2570</v>
      </c>
      <c r="V478" s="44"/>
      <c r="W478" s="44" t="s">
        <v>2734</v>
      </c>
      <c r="X478" s="48" t="s">
        <v>2735</v>
      </c>
      <c r="Y478" s="44" t="s">
        <v>2736</v>
      </c>
    </row>
    <row r="479" spans="1:25" x14ac:dyDescent="0.25">
      <c r="A479" s="44" t="s">
        <v>2553</v>
      </c>
      <c r="B479" s="44" t="s">
        <v>228</v>
      </c>
      <c r="C479" s="44" t="s">
        <v>1095</v>
      </c>
      <c r="D479" s="44" t="s">
        <v>148</v>
      </c>
      <c r="E479" s="44" t="s">
        <v>126</v>
      </c>
      <c r="F479" s="44">
        <v>8</v>
      </c>
      <c r="G479" s="44" t="s">
        <v>111</v>
      </c>
      <c r="H479" s="44" t="s">
        <v>117</v>
      </c>
      <c r="I479" s="44" t="s">
        <v>656</v>
      </c>
      <c r="J479" s="44">
        <v>21</v>
      </c>
      <c r="K479" s="44">
        <v>2</v>
      </c>
      <c r="L479" s="45"/>
      <c r="M479" s="44">
        <v>10500</v>
      </c>
      <c r="N479" s="46">
        <f t="shared" si="14"/>
        <v>2.1904761904761906E-3</v>
      </c>
      <c r="O479" s="47" t="str">
        <f t="shared" si="15"/>
        <v/>
      </c>
      <c r="P479" s="44">
        <v>52</v>
      </c>
      <c r="Q479" s="44">
        <v>5</v>
      </c>
      <c r="R479" s="44">
        <v>0</v>
      </c>
      <c r="S479" s="44" t="s">
        <v>1068</v>
      </c>
      <c r="T479" s="44" t="s">
        <v>1068</v>
      </c>
      <c r="U479" s="44"/>
      <c r="V479" s="44"/>
      <c r="W479" s="44" t="s">
        <v>2737</v>
      </c>
      <c r="X479" s="48" t="s">
        <v>2738</v>
      </c>
      <c r="Y479" s="44" t="s">
        <v>2739</v>
      </c>
    </row>
    <row r="480" spans="1:25" x14ac:dyDescent="0.25">
      <c r="A480" s="44" t="s">
        <v>2553</v>
      </c>
      <c r="B480" s="44" t="s">
        <v>228</v>
      </c>
      <c r="C480" s="44" t="s">
        <v>2740</v>
      </c>
      <c r="D480" s="44" t="s">
        <v>148</v>
      </c>
      <c r="E480" s="44" t="s">
        <v>137</v>
      </c>
      <c r="F480" s="44">
        <v>12</v>
      </c>
      <c r="G480" s="44" t="s">
        <v>108</v>
      </c>
      <c r="H480" s="44" t="s">
        <v>122</v>
      </c>
      <c r="I480" s="44" t="s">
        <v>656</v>
      </c>
      <c r="J480" s="44">
        <v>75</v>
      </c>
      <c r="K480" s="44">
        <v>2</v>
      </c>
      <c r="L480" s="45">
        <v>5027</v>
      </c>
      <c r="M480" s="44">
        <v>10500</v>
      </c>
      <c r="N480" s="46">
        <f t="shared" si="14"/>
        <v>7.3333333333333332E-3</v>
      </c>
      <c r="O480" s="47">
        <f t="shared" si="15"/>
        <v>0.47876190476190478</v>
      </c>
      <c r="P480" s="44">
        <v>63</v>
      </c>
      <c r="Q480" s="44">
        <v>5</v>
      </c>
      <c r="R480" s="44">
        <v>5</v>
      </c>
      <c r="S480" s="44" t="s">
        <v>1067</v>
      </c>
      <c r="T480" s="44" t="s">
        <v>1068</v>
      </c>
      <c r="U480" s="44" t="s">
        <v>2677</v>
      </c>
      <c r="V480" s="44"/>
      <c r="W480" s="44" t="s">
        <v>2741</v>
      </c>
      <c r="X480" s="48" t="s">
        <v>2742</v>
      </c>
      <c r="Y480" s="44" t="s">
        <v>2743</v>
      </c>
    </row>
    <row r="481" spans="1:25" x14ac:dyDescent="0.25">
      <c r="A481" s="44" t="s">
        <v>2553</v>
      </c>
      <c r="B481" s="44" t="s">
        <v>228</v>
      </c>
      <c r="C481" s="44" t="s">
        <v>1482</v>
      </c>
      <c r="D481" s="44" t="s">
        <v>148</v>
      </c>
      <c r="E481" s="44" t="s">
        <v>136</v>
      </c>
      <c r="F481" s="44">
        <v>18</v>
      </c>
      <c r="G481" s="44" t="s">
        <v>108</v>
      </c>
      <c r="H481" s="44" t="s">
        <v>121</v>
      </c>
      <c r="I481" s="44" t="s">
        <v>656</v>
      </c>
      <c r="J481" s="44">
        <v>170</v>
      </c>
      <c r="K481" s="44">
        <v>0</v>
      </c>
      <c r="L481" s="45">
        <v>30445</v>
      </c>
      <c r="M481" s="44">
        <v>10500</v>
      </c>
      <c r="N481" s="46">
        <f t="shared" si="14"/>
        <v>1.6190476190476189E-2</v>
      </c>
      <c r="O481" s="47">
        <f t="shared" si="15"/>
        <v>2.8995238095238096</v>
      </c>
      <c r="P481" s="44">
        <v>60</v>
      </c>
      <c r="Q481" s="44">
        <v>5</v>
      </c>
      <c r="R481" s="44">
        <v>2</v>
      </c>
      <c r="S481" s="44" t="s">
        <v>1068</v>
      </c>
      <c r="T481" s="44" t="s">
        <v>1067</v>
      </c>
      <c r="U481" s="44" t="s">
        <v>2595</v>
      </c>
      <c r="V481" s="44" t="s">
        <v>2553</v>
      </c>
      <c r="W481" s="44" t="s">
        <v>2744</v>
      </c>
      <c r="X481" s="48" t="s">
        <v>2745</v>
      </c>
      <c r="Y481" s="44" t="s">
        <v>2746</v>
      </c>
    </row>
    <row r="482" spans="1:25" x14ac:dyDescent="0.25">
      <c r="A482" s="44" t="s">
        <v>2553</v>
      </c>
      <c r="B482" s="44" t="s">
        <v>228</v>
      </c>
      <c r="C482" s="44" t="s">
        <v>1099</v>
      </c>
      <c r="D482" s="44" t="s">
        <v>148</v>
      </c>
      <c r="E482" s="44" t="s">
        <v>134</v>
      </c>
      <c r="F482" s="44">
        <v>23</v>
      </c>
      <c r="G482" s="44" t="s">
        <v>108</v>
      </c>
      <c r="H482" s="44" t="s">
        <v>121</v>
      </c>
      <c r="I482" s="44" t="s">
        <v>656</v>
      </c>
      <c r="J482" s="44">
        <v>25</v>
      </c>
      <c r="K482" s="44">
        <v>0</v>
      </c>
      <c r="L482" s="45">
        <v>1990</v>
      </c>
      <c r="M482" s="44">
        <v>10500</v>
      </c>
      <c r="N482" s="46">
        <f t="shared" si="14"/>
        <v>2.3809523809523812E-3</v>
      </c>
      <c r="O482" s="47">
        <f t="shared" si="15"/>
        <v>0.18952380952380951</v>
      </c>
      <c r="P482" s="44">
        <v>11</v>
      </c>
      <c r="Q482" s="44">
        <v>1</v>
      </c>
      <c r="R482" s="44">
        <v>7</v>
      </c>
      <c r="S482" s="44" t="s">
        <v>1068</v>
      </c>
      <c r="T482" s="44" t="s">
        <v>1068</v>
      </c>
      <c r="U482" s="44" t="s">
        <v>2747</v>
      </c>
      <c r="V482" s="44" t="s">
        <v>2748</v>
      </c>
      <c r="W482" s="44" t="s">
        <v>2749</v>
      </c>
      <c r="X482" s="48" t="s">
        <v>2750</v>
      </c>
      <c r="Y482" s="44" t="s">
        <v>2751</v>
      </c>
    </row>
    <row r="483" spans="1:25" x14ac:dyDescent="0.25">
      <c r="A483" s="44" t="s">
        <v>2553</v>
      </c>
      <c r="B483" s="44" t="s">
        <v>228</v>
      </c>
      <c r="C483" s="44" t="s">
        <v>1099</v>
      </c>
      <c r="D483" s="44" t="s">
        <v>148</v>
      </c>
      <c r="E483" s="44" t="s">
        <v>134</v>
      </c>
      <c r="F483" s="44">
        <v>13</v>
      </c>
      <c r="G483" s="44" t="s">
        <v>111</v>
      </c>
      <c r="H483" s="44" t="s">
        <v>119</v>
      </c>
      <c r="I483" s="44" t="s">
        <v>656</v>
      </c>
      <c r="J483" s="44">
        <v>31</v>
      </c>
      <c r="K483" s="44">
        <v>2</v>
      </c>
      <c r="L483" s="45"/>
      <c r="M483" s="44">
        <v>10500</v>
      </c>
      <c r="N483" s="46">
        <f t="shared" si="14"/>
        <v>3.142857142857143E-3</v>
      </c>
      <c r="O483" s="47" t="str">
        <f t="shared" si="15"/>
        <v/>
      </c>
      <c r="P483" s="44">
        <v>94</v>
      </c>
      <c r="Q483" s="44">
        <v>5</v>
      </c>
      <c r="R483" s="44">
        <v>3</v>
      </c>
      <c r="S483" s="44" t="s">
        <v>1068</v>
      </c>
      <c r="T483" s="44" t="s">
        <v>1068</v>
      </c>
      <c r="U483" s="44"/>
      <c r="V483" s="44"/>
      <c r="W483" s="44" t="s">
        <v>2752</v>
      </c>
      <c r="X483" s="48" t="s">
        <v>2753</v>
      </c>
      <c r="Y483" s="44" t="s">
        <v>2754</v>
      </c>
    </row>
    <row r="484" spans="1:25" x14ac:dyDescent="0.25">
      <c r="A484" s="44" t="s">
        <v>2553</v>
      </c>
      <c r="B484" s="44" t="s">
        <v>228</v>
      </c>
      <c r="C484" s="44" t="s">
        <v>1099</v>
      </c>
      <c r="D484" s="44" t="s">
        <v>148</v>
      </c>
      <c r="E484" s="44" t="s">
        <v>134</v>
      </c>
      <c r="F484" s="44">
        <v>13</v>
      </c>
      <c r="G484" s="44" t="s">
        <v>108</v>
      </c>
      <c r="H484" s="44" t="s">
        <v>114</v>
      </c>
      <c r="I484" s="44" t="s">
        <v>648</v>
      </c>
      <c r="J484" s="44">
        <v>1268</v>
      </c>
      <c r="K484" s="44">
        <v>6</v>
      </c>
      <c r="L484" s="45">
        <v>82172</v>
      </c>
      <c r="M484" s="44">
        <v>10500</v>
      </c>
      <c r="N484" s="46">
        <f t="shared" si="14"/>
        <v>0.12133333333333333</v>
      </c>
      <c r="O484" s="47">
        <f t="shared" si="15"/>
        <v>7.8259047619047619</v>
      </c>
      <c r="P484" s="44">
        <v>72</v>
      </c>
      <c r="Q484" s="44">
        <v>5</v>
      </c>
      <c r="R484" s="44">
        <v>3</v>
      </c>
      <c r="S484" s="44" t="s">
        <v>1068</v>
      </c>
      <c r="T484" s="44" t="s">
        <v>1067</v>
      </c>
      <c r="U484" s="44"/>
      <c r="V484" s="44" t="s">
        <v>2755</v>
      </c>
      <c r="W484" s="44" t="s">
        <v>309</v>
      </c>
      <c r="X484" s="48" t="s">
        <v>2756</v>
      </c>
      <c r="Y484" s="44" t="s">
        <v>2757</v>
      </c>
    </row>
    <row r="485" spans="1:25" x14ac:dyDescent="0.25">
      <c r="A485" s="44" t="s">
        <v>2553</v>
      </c>
      <c r="B485" s="44" t="s">
        <v>228</v>
      </c>
      <c r="C485" s="44" t="s">
        <v>1099</v>
      </c>
      <c r="D485" s="44" t="s">
        <v>148</v>
      </c>
      <c r="E485" s="44" t="s">
        <v>134</v>
      </c>
      <c r="F485" s="44">
        <v>8</v>
      </c>
      <c r="G485" s="44" t="s">
        <v>108</v>
      </c>
      <c r="H485" s="44" t="s">
        <v>115</v>
      </c>
      <c r="I485" s="44" t="s">
        <v>656</v>
      </c>
      <c r="J485" s="44">
        <v>16</v>
      </c>
      <c r="K485" s="44">
        <v>0</v>
      </c>
      <c r="L485" s="45">
        <v>2042</v>
      </c>
      <c r="M485" s="44">
        <v>10500</v>
      </c>
      <c r="N485" s="46">
        <f t="shared" si="14"/>
        <v>1.5238095238095239E-3</v>
      </c>
      <c r="O485" s="47">
        <f t="shared" si="15"/>
        <v>0.19447619047619047</v>
      </c>
      <c r="P485" s="44">
        <v>133</v>
      </c>
      <c r="Q485" s="44">
        <v>5</v>
      </c>
      <c r="R485" s="44">
        <v>5</v>
      </c>
      <c r="S485" s="44" t="s">
        <v>1068</v>
      </c>
      <c r="T485" s="44" t="s">
        <v>1067</v>
      </c>
      <c r="U485" s="44"/>
      <c r="V485" s="44"/>
      <c r="W485" s="44" t="s">
        <v>2758</v>
      </c>
      <c r="X485" s="48" t="s">
        <v>2759</v>
      </c>
      <c r="Y485" s="44" t="s">
        <v>2760</v>
      </c>
    </row>
    <row r="486" spans="1:25" x14ac:dyDescent="0.25">
      <c r="A486" s="44" t="s">
        <v>2553</v>
      </c>
      <c r="B486" s="44" t="s">
        <v>228</v>
      </c>
      <c r="C486" s="44" t="s">
        <v>1486</v>
      </c>
      <c r="D486" s="44" t="s">
        <v>148</v>
      </c>
      <c r="E486" s="44" t="s">
        <v>132</v>
      </c>
      <c r="F486" s="44">
        <v>12</v>
      </c>
      <c r="G486" s="44" t="s">
        <v>108</v>
      </c>
      <c r="H486" s="44" t="s">
        <v>121</v>
      </c>
      <c r="I486" s="44" t="s">
        <v>656</v>
      </c>
      <c r="J486" s="44">
        <v>97</v>
      </c>
      <c r="K486" s="44">
        <v>2</v>
      </c>
      <c r="L486" s="45">
        <v>5621</v>
      </c>
      <c r="M486" s="44">
        <v>10500</v>
      </c>
      <c r="N486" s="46">
        <f t="shared" si="14"/>
        <v>9.4285714285714285E-3</v>
      </c>
      <c r="O486" s="47">
        <f t="shared" si="15"/>
        <v>0.53533333333333333</v>
      </c>
      <c r="P486" s="44">
        <v>163</v>
      </c>
      <c r="Q486" s="44">
        <v>0</v>
      </c>
      <c r="R486" s="44">
        <v>0</v>
      </c>
      <c r="S486" s="44" t="s">
        <v>1068</v>
      </c>
      <c r="T486" s="44" t="s">
        <v>1068</v>
      </c>
      <c r="U486" s="44"/>
      <c r="V486" s="44" t="s">
        <v>2761</v>
      </c>
      <c r="W486" s="44" t="s">
        <v>2762</v>
      </c>
      <c r="X486" s="48" t="s">
        <v>2763</v>
      </c>
      <c r="Y486" s="44" t="s">
        <v>2764</v>
      </c>
    </row>
    <row r="487" spans="1:25" x14ac:dyDescent="0.25">
      <c r="A487" s="44" t="s">
        <v>2553</v>
      </c>
      <c r="B487" s="44" t="s">
        <v>228</v>
      </c>
      <c r="C487" s="44" t="s">
        <v>1486</v>
      </c>
      <c r="D487" s="44" t="s">
        <v>148</v>
      </c>
      <c r="E487" s="44" t="s">
        <v>132</v>
      </c>
      <c r="F487" s="44">
        <v>7</v>
      </c>
      <c r="G487" s="44" t="s">
        <v>111</v>
      </c>
      <c r="H487" s="44" t="s">
        <v>121</v>
      </c>
      <c r="I487" s="44" t="s">
        <v>656</v>
      </c>
      <c r="J487" s="44">
        <v>15</v>
      </c>
      <c r="K487" s="44">
        <v>0</v>
      </c>
      <c r="L487" s="45"/>
      <c r="M487" s="44">
        <v>10500</v>
      </c>
      <c r="N487" s="46">
        <f t="shared" si="14"/>
        <v>1.4285714285714286E-3</v>
      </c>
      <c r="O487" s="47" t="str">
        <f t="shared" si="15"/>
        <v/>
      </c>
      <c r="P487" s="44">
        <v>92</v>
      </c>
      <c r="Q487" s="44">
        <v>5</v>
      </c>
      <c r="R487" s="44">
        <v>8</v>
      </c>
      <c r="S487" s="44" t="s">
        <v>1067</v>
      </c>
      <c r="T487" s="44" t="s">
        <v>1068</v>
      </c>
      <c r="U487" s="44" t="s">
        <v>2765</v>
      </c>
      <c r="V487" s="44"/>
      <c r="W487" s="44" t="s">
        <v>2766</v>
      </c>
      <c r="X487" s="48" t="s">
        <v>2767</v>
      </c>
      <c r="Y487" s="44" t="s">
        <v>2768</v>
      </c>
    </row>
    <row r="488" spans="1:25" x14ac:dyDescent="0.25">
      <c r="A488" s="44" t="s">
        <v>2553</v>
      </c>
      <c r="B488" s="44" t="s">
        <v>228</v>
      </c>
      <c r="C488" s="44" t="s">
        <v>1103</v>
      </c>
      <c r="D488" s="44" t="s">
        <v>148</v>
      </c>
      <c r="E488" s="44" t="s">
        <v>130</v>
      </c>
      <c r="F488" s="44">
        <v>14</v>
      </c>
      <c r="G488" s="44" t="s">
        <v>111</v>
      </c>
      <c r="H488" s="44" t="s">
        <v>117</v>
      </c>
      <c r="I488" s="44" t="s">
        <v>656</v>
      </c>
      <c r="J488" s="44">
        <v>14</v>
      </c>
      <c r="K488" s="44">
        <v>0</v>
      </c>
      <c r="L488" s="45"/>
      <c r="M488" s="44">
        <v>10500</v>
      </c>
      <c r="N488" s="46">
        <f t="shared" si="14"/>
        <v>1.3333333333333333E-3</v>
      </c>
      <c r="O488" s="47" t="str">
        <f t="shared" si="15"/>
        <v/>
      </c>
      <c r="P488" s="44">
        <v>71</v>
      </c>
      <c r="Q488" s="44">
        <v>5</v>
      </c>
      <c r="R488" s="44">
        <v>7</v>
      </c>
      <c r="S488" s="44" t="s">
        <v>1067</v>
      </c>
      <c r="T488" s="44" t="s">
        <v>1068</v>
      </c>
      <c r="U488" s="44" t="s">
        <v>2769</v>
      </c>
      <c r="V488" s="44"/>
      <c r="W488" s="44" t="s">
        <v>2770</v>
      </c>
      <c r="X488" s="48" t="s">
        <v>2771</v>
      </c>
      <c r="Y488" s="44" t="s">
        <v>2772</v>
      </c>
    </row>
    <row r="489" spans="1:25" x14ac:dyDescent="0.25">
      <c r="A489" s="44" t="s">
        <v>2553</v>
      </c>
      <c r="B489" s="44" t="s">
        <v>228</v>
      </c>
      <c r="C489" s="44" t="s">
        <v>1103</v>
      </c>
      <c r="D489" s="44" t="s">
        <v>148</v>
      </c>
      <c r="E489" s="44" t="s">
        <v>130</v>
      </c>
      <c r="F489" s="44">
        <v>8</v>
      </c>
      <c r="G489" s="44" t="s">
        <v>108</v>
      </c>
      <c r="H489" s="44" t="s">
        <v>120</v>
      </c>
      <c r="I489" s="44" t="s">
        <v>656</v>
      </c>
      <c r="J489" s="44">
        <v>87</v>
      </c>
      <c r="K489" s="44">
        <v>8</v>
      </c>
      <c r="L489" s="45">
        <v>14766</v>
      </c>
      <c r="M489" s="44">
        <v>10500</v>
      </c>
      <c r="N489" s="46">
        <f t="shared" si="14"/>
        <v>9.0476190476190474E-3</v>
      </c>
      <c r="O489" s="47">
        <f t="shared" si="15"/>
        <v>1.4062857142857144</v>
      </c>
      <c r="P489" s="44">
        <v>75</v>
      </c>
      <c r="Q489" s="44">
        <v>4</v>
      </c>
      <c r="R489" s="44">
        <v>9</v>
      </c>
      <c r="S489" s="44" t="s">
        <v>1067</v>
      </c>
      <c r="T489" s="44" t="s">
        <v>1067</v>
      </c>
      <c r="U489" s="44" t="s">
        <v>2773</v>
      </c>
      <c r="V489" s="44"/>
      <c r="W489" s="44" t="s">
        <v>2774</v>
      </c>
      <c r="X489" s="48" t="s">
        <v>2775</v>
      </c>
      <c r="Y489" s="44" t="s">
        <v>2776</v>
      </c>
    </row>
    <row r="490" spans="1:25" x14ac:dyDescent="0.25">
      <c r="A490" s="44" t="s">
        <v>2553</v>
      </c>
      <c r="B490" s="44" t="s">
        <v>228</v>
      </c>
      <c r="C490" s="44" t="s">
        <v>1490</v>
      </c>
      <c r="D490" s="44" t="s">
        <v>148</v>
      </c>
      <c r="E490" s="44" t="s">
        <v>128</v>
      </c>
      <c r="F490" s="44">
        <v>16</v>
      </c>
      <c r="G490" s="44" t="s">
        <v>109</v>
      </c>
      <c r="H490" s="44" t="s">
        <v>117</v>
      </c>
      <c r="I490" s="44" t="s">
        <v>656</v>
      </c>
      <c r="J490" s="44">
        <v>40</v>
      </c>
      <c r="K490" s="44">
        <v>1</v>
      </c>
      <c r="L490" s="45"/>
      <c r="M490" s="44">
        <v>10500</v>
      </c>
      <c r="N490" s="46">
        <f t="shared" si="14"/>
        <v>3.9047619047619048E-3</v>
      </c>
      <c r="O490" s="47" t="str">
        <f t="shared" si="15"/>
        <v/>
      </c>
      <c r="P490" s="44">
        <v>88</v>
      </c>
      <c r="Q490" s="44">
        <v>5</v>
      </c>
      <c r="R490" s="44">
        <v>4</v>
      </c>
      <c r="S490" s="44" t="s">
        <v>1067</v>
      </c>
      <c r="T490" s="44" t="s">
        <v>1067</v>
      </c>
      <c r="U490" s="44" t="s">
        <v>2777</v>
      </c>
      <c r="V490" s="44"/>
      <c r="W490" s="44" t="s">
        <v>2778</v>
      </c>
      <c r="X490" s="48" t="s">
        <v>2779</v>
      </c>
      <c r="Y490" s="44" t="s">
        <v>2780</v>
      </c>
    </row>
    <row r="491" spans="1:25" x14ac:dyDescent="0.25">
      <c r="A491" s="44" t="s">
        <v>2553</v>
      </c>
      <c r="B491" s="44" t="s">
        <v>228</v>
      </c>
      <c r="C491" s="44" t="s">
        <v>1490</v>
      </c>
      <c r="D491" s="44" t="s">
        <v>148</v>
      </c>
      <c r="E491" s="44" t="s">
        <v>128</v>
      </c>
      <c r="F491" s="44">
        <v>16</v>
      </c>
      <c r="G491" s="44" t="s">
        <v>111</v>
      </c>
      <c r="H491" s="44" t="s">
        <v>117</v>
      </c>
      <c r="I491" s="44" t="s">
        <v>629</v>
      </c>
      <c r="J491" s="44">
        <v>11</v>
      </c>
      <c r="K491" s="44">
        <v>0</v>
      </c>
      <c r="L491" s="45"/>
      <c r="M491" s="44">
        <v>10500</v>
      </c>
      <c r="N491" s="46">
        <f t="shared" si="14"/>
        <v>1.0476190476190477E-3</v>
      </c>
      <c r="O491" s="47" t="str">
        <f t="shared" si="15"/>
        <v/>
      </c>
      <c r="P491" s="44">
        <v>66</v>
      </c>
      <c r="Q491" s="44">
        <v>5</v>
      </c>
      <c r="R491" s="44">
        <v>4</v>
      </c>
      <c r="S491" s="44" t="s">
        <v>1067</v>
      </c>
      <c r="T491" s="44" t="s">
        <v>1068</v>
      </c>
      <c r="U491" s="44" t="s">
        <v>2781</v>
      </c>
      <c r="V491" s="44"/>
      <c r="W491" s="44" t="s">
        <v>2782</v>
      </c>
      <c r="X491" s="48" t="s">
        <v>2783</v>
      </c>
      <c r="Y491" s="44" t="s">
        <v>2784</v>
      </c>
    </row>
    <row r="492" spans="1:25" x14ac:dyDescent="0.25">
      <c r="A492" s="44" t="s">
        <v>2553</v>
      </c>
      <c r="B492" s="44" t="s">
        <v>228</v>
      </c>
      <c r="C492" s="44" t="s">
        <v>1490</v>
      </c>
      <c r="D492" s="44" t="s">
        <v>148</v>
      </c>
      <c r="E492" s="44" t="s">
        <v>128</v>
      </c>
      <c r="F492" s="44">
        <v>15</v>
      </c>
      <c r="G492" s="44" t="s">
        <v>108</v>
      </c>
      <c r="H492" s="44" t="s">
        <v>122</v>
      </c>
      <c r="I492" s="44" t="s">
        <v>656</v>
      </c>
      <c r="J492" s="44">
        <v>94</v>
      </c>
      <c r="K492" s="44">
        <v>5</v>
      </c>
      <c r="L492" s="45">
        <v>7361</v>
      </c>
      <c r="M492" s="44">
        <v>10500</v>
      </c>
      <c r="N492" s="46">
        <f t="shared" si="14"/>
        <v>9.4285714285714285E-3</v>
      </c>
      <c r="O492" s="47">
        <f t="shared" si="15"/>
        <v>0.70104761904761903</v>
      </c>
      <c r="P492" s="44">
        <v>4</v>
      </c>
      <c r="Q492" s="44">
        <v>0</v>
      </c>
      <c r="R492" s="44">
        <v>2</v>
      </c>
      <c r="S492" s="44" t="s">
        <v>1068</v>
      </c>
      <c r="T492" s="44" t="s">
        <v>1068</v>
      </c>
      <c r="U492" s="44"/>
      <c r="V492" s="44" t="s">
        <v>2602</v>
      </c>
      <c r="W492" s="44" t="s">
        <v>2785</v>
      </c>
      <c r="X492" s="48" t="s">
        <v>2786</v>
      </c>
      <c r="Y492" s="44" t="s">
        <v>2785</v>
      </c>
    </row>
    <row r="493" spans="1:25" x14ac:dyDescent="0.25">
      <c r="A493" s="44" t="s">
        <v>2553</v>
      </c>
      <c r="B493" s="44" t="s">
        <v>228</v>
      </c>
      <c r="C493" s="44" t="s">
        <v>1490</v>
      </c>
      <c r="D493" s="44" t="s">
        <v>148</v>
      </c>
      <c r="E493" s="44" t="s">
        <v>128</v>
      </c>
      <c r="F493" s="44">
        <v>8</v>
      </c>
      <c r="G493" s="44" t="s">
        <v>111</v>
      </c>
      <c r="H493" s="44" t="s">
        <v>117</v>
      </c>
      <c r="I493" s="44" t="s">
        <v>656</v>
      </c>
      <c r="J493" s="44">
        <v>7</v>
      </c>
      <c r="K493" s="44">
        <v>0</v>
      </c>
      <c r="L493" s="45"/>
      <c r="M493" s="44">
        <v>10500</v>
      </c>
      <c r="N493" s="46">
        <f t="shared" si="14"/>
        <v>6.6666666666666664E-4</v>
      </c>
      <c r="O493" s="47" t="str">
        <f t="shared" si="15"/>
        <v/>
      </c>
      <c r="P493" s="44">
        <v>82</v>
      </c>
      <c r="Q493" s="44">
        <v>5</v>
      </c>
      <c r="R493" s="44">
        <v>8</v>
      </c>
      <c r="S493" s="44" t="s">
        <v>1067</v>
      </c>
      <c r="T493" s="44" t="s">
        <v>1068</v>
      </c>
      <c r="U493" s="44" t="s">
        <v>2787</v>
      </c>
      <c r="V493" s="44"/>
      <c r="W493" s="44" t="s">
        <v>2788</v>
      </c>
      <c r="X493" s="48" t="s">
        <v>2789</v>
      </c>
      <c r="Y493" s="44" t="s">
        <v>2790</v>
      </c>
    </row>
    <row r="494" spans="1:25" x14ac:dyDescent="0.25">
      <c r="A494" s="44" t="s">
        <v>2553</v>
      </c>
      <c r="B494" s="44" t="s">
        <v>228</v>
      </c>
      <c r="C494" s="44" t="s">
        <v>185</v>
      </c>
      <c r="D494" s="44" t="s">
        <v>148</v>
      </c>
      <c r="E494" s="44" t="s">
        <v>126</v>
      </c>
      <c r="F494" s="44">
        <v>20</v>
      </c>
      <c r="G494" s="44" t="s">
        <v>111</v>
      </c>
      <c r="H494" s="44" t="s">
        <v>117</v>
      </c>
      <c r="I494" s="44" t="s">
        <v>656</v>
      </c>
      <c r="J494" s="44">
        <v>15</v>
      </c>
      <c r="K494" s="44">
        <v>1</v>
      </c>
      <c r="L494" s="45"/>
      <c r="M494" s="44">
        <v>10500</v>
      </c>
      <c r="N494" s="46">
        <f t="shared" si="14"/>
        <v>1.5238095238095239E-3</v>
      </c>
      <c r="O494" s="47" t="str">
        <f t="shared" si="15"/>
        <v/>
      </c>
      <c r="P494" s="44">
        <v>47</v>
      </c>
      <c r="Q494" s="44">
        <v>5</v>
      </c>
      <c r="R494" s="44">
        <v>2</v>
      </c>
      <c r="S494" s="44" t="s">
        <v>1068</v>
      </c>
      <c r="T494" s="44" t="s">
        <v>1068</v>
      </c>
      <c r="U494" s="44" t="s">
        <v>2791</v>
      </c>
      <c r="V494" s="44" t="s">
        <v>2553</v>
      </c>
      <c r="W494" s="44" t="s">
        <v>2792</v>
      </c>
      <c r="X494" s="48" t="s">
        <v>2793</v>
      </c>
      <c r="Y494" s="44" t="s">
        <v>2794</v>
      </c>
    </row>
    <row r="495" spans="1:25" x14ac:dyDescent="0.25">
      <c r="A495" s="44" t="s">
        <v>2553</v>
      </c>
      <c r="B495" s="44" t="s">
        <v>228</v>
      </c>
      <c r="C495" s="44" t="s">
        <v>1493</v>
      </c>
      <c r="D495" s="44" t="s">
        <v>148</v>
      </c>
      <c r="E495" s="44" t="s">
        <v>137</v>
      </c>
      <c r="F495" s="44">
        <v>12</v>
      </c>
      <c r="G495" s="44" t="s">
        <v>108</v>
      </c>
      <c r="H495" s="44" t="s">
        <v>122</v>
      </c>
      <c r="I495" s="44" t="s">
        <v>656</v>
      </c>
      <c r="J495" s="44">
        <v>112</v>
      </c>
      <c r="K495" s="44">
        <v>1</v>
      </c>
      <c r="L495" s="45">
        <v>5236</v>
      </c>
      <c r="M495" s="44">
        <v>10500</v>
      </c>
      <c r="N495" s="46">
        <f t="shared" si="14"/>
        <v>1.0761904761904762E-2</v>
      </c>
      <c r="O495" s="47">
        <f t="shared" si="15"/>
        <v>0.49866666666666665</v>
      </c>
      <c r="P495" s="44">
        <v>41</v>
      </c>
      <c r="Q495" s="44">
        <v>5</v>
      </c>
      <c r="R495" s="44">
        <v>7</v>
      </c>
      <c r="S495" s="44" t="s">
        <v>1067</v>
      </c>
      <c r="T495" s="44" t="s">
        <v>1067</v>
      </c>
      <c r="U495" s="44" t="s">
        <v>2677</v>
      </c>
      <c r="V495" s="44"/>
      <c r="W495" s="44" t="s">
        <v>2795</v>
      </c>
      <c r="X495" s="48" t="s">
        <v>2796</v>
      </c>
      <c r="Y495" s="44" t="s">
        <v>2797</v>
      </c>
    </row>
    <row r="496" spans="1:25" x14ac:dyDescent="0.25">
      <c r="A496" s="44" t="s">
        <v>2553</v>
      </c>
      <c r="B496" s="44" t="s">
        <v>228</v>
      </c>
      <c r="C496" s="44" t="s">
        <v>192</v>
      </c>
      <c r="D496" s="44" t="s">
        <v>148</v>
      </c>
      <c r="E496" s="44" t="s">
        <v>134</v>
      </c>
      <c r="F496" s="44">
        <v>14</v>
      </c>
      <c r="G496" s="44" t="s">
        <v>108</v>
      </c>
      <c r="H496" s="44" t="s">
        <v>121</v>
      </c>
      <c r="I496" s="44" t="s">
        <v>650</v>
      </c>
      <c r="J496" s="44">
        <v>3561</v>
      </c>
      <c r="K496" s="44">
        <v>19</v>
      </c>
      <c r="L496" s="45">
        <v>112359</v>
      </c>
      <c r="M496" s="44">
        <v>10500</v>
      </c>
      <c r="N496" s="46">
        <f t="shared" si="14"/>
        <v>0.34095238095238095</v>
      </c>
      <c r="O496" s="47">
        <f t="shared" si="15"/>
        <v>10.700857142857142</v>
      </c>
      <c r="P496" s="44">
        <v>26</v>
      </c>
      <c r="Q496" s="44">
        <v>0</v>
      </c>
      <c r="R496" s="44">
        <v>0</v>
      </c>
      <c r="S496" s="44" t="s">
        <v>1068</v>
      </c>
      <c r="T496" s="44" t="s">
        <v>1067</v>
      </c>
      <c r="U496" s="44"/>
      <c r="V496" s="44" t="s">
        <v>2798</v>
      </c>
      <c r="W496" s="44" t="s">
        <v>308</v>
      </c>
      <c r="X496" s="48" t="s">
        <v>2799</v>
      </c>
      <c r="Y496" s="44" t="s">
        <v>2800</v>
      </c>
    </row>
    <row r="497" spans="1:25" x14ac:dyDescent="0.25">
      <c r="A497" s="44" t="s">
        <v>2553</v>
      </c>
      <c r="B497" s="44" t="s">
        <v>228</v>
      </c>
      <c r="C497" s="44" t="s">
        <v>192</v>
      </c>
      <c r="D497" s="44" t="s">
        <v>148</v>
      </c>
      <c r="E497" s="44" t="s">
        <v>134</v>
      </c>
      <c r="F497" s="44">
        <v>11</v>
      </c>
      <c r="G497" s="44" t="s">
        <v>111</v>
      </c>
      <c r="H497" s="44" t="s">
        <v>120</v>
      </c>
      <c r="I497" s="44" t="s">
        <v>656</v>
      </c>
      <c r="J497" s="44">
        <v>9</v>
      </c>
      <c r="K497" s="44">
        <v>0</v>
      </c>
      <c r="L497" s="45"/>
      <c r="M497" s="44">
        <v>10500</v>
      </c>
      <c r="N497" s="46">
        <f t="shared" si="14"/>
        <v>8.571428571428571E-4</v>
      </c>
      <c r="O497" s="47" t="str">
        <f t="shared" si="15"/>
        <v/>
      </c>
      <c r="P497" s="44">
        <v>101</v>
      </c>
      <c r="Q497" s="44">
        <v>5</v>
      </c>
      <c r="R497" s="44">
        <v>4</v>
      </c>
      <c r="S497" s="44" t="s">
        <v>1067</v>
      </c>
      <c r="T497" s="44" t="s">
        <v>1067</v>
      </c>
      <c r="U497" s="44"/>
      <c r="V497" s="44"/>
      <c r="W497" s="44" t="s">
        <v>2801</v>
      </c>
      <c r="X497" s="48" t="s">
        <v>2802</v>
      </c>
      <c r="Y497" s="44" t="s">
        <v>2803</v>
      </c>
    </row>
    <row r="498" spans="1:25" x14ac:dyDescent="0.25">
      <c r="A498" s="44" t="s">
        <v>2553</v>
      </c>
      <c r="B498" s="44" t="s">
        <v>228</v>
      </c>
      <c r="C498" s="44" t="s">
        <v>192</v>
      </c>
      <c r="D498" s="44" t="s">
        <v>148</v>
      </c>
      <c r="E498" s="44" t="s">
        <v>134</v>
      </c>
      <c r="F498" s="44">
        <v>10</v>
      </c>
      <c r="G498" s="44" t="s">
        <v>111</v>
      </c>
      <c r="H498" s="44" t="s">
        <v>115</v>
      </c>
      <c r="I498" s="44" t="s">
        <v>650</v>
      </c>
      <c r="J498" s="44">
        <v>16</v>
      </c>
      <c r="K498" s="44">
        <v>0</v>
      </c>
      <c r="L498" s="45"/>
      <c r="M498" s="44">
        <v>10500</v>
      </c>
      <c r="N498" s="46">
        <f t="shared" si="14"/>
        <v>1.5238095238095239E-3</v>
      </c>
      <c r="O498" s="47" t="str">
        <f t="shared" si="15"/>
        <v/>
      </c>
      <c r="P498" s="44">
        <v>89</v>
      </c>
      <c r="Q498" s="44">
        <v>5</v>
      </c>
      <c r="R498" s="44">
        <v>4</v>
      </c>
      <c r="S498" s="44" t="s">
        <v>1067</v>
      </c>
      <c r="T498" s="44" t="s">
        <v>1067</v>
      </c>
      <c r="U498" s="44" t="s">
        <v>2804</v>
      </c>
      <c r="V498" s="44"/>
      <c r="W498" s="44" t="s">
        <v>2805</v>
      </c>
      <c r="X498" s="48" t="s">
        <v>2806</v>
      </c>
      <c r="Y498" s="44" t="s">
        <v>2807</v>
      </c>
    </row>
    <row r="499" spans="1:25" x14ac:dyDescent="0.25">
      <c r="A499" s="44" t="s">
        <v>2553</v>
      </c>
      <c r="B499" s="44" t="s">
        <v>228</v>
      </c>
      <c r="C499" s="44" t="s">
        <v>1497</v>
      </c>
      <c r="D499" s="44" t="s">
        <v>148</v>
      </c>
      <c r="E499" s="44" t="s">
        <v>132</v>
      </c>
      <c r="F499" s="44">
        <v>15</v>
      </c>
      <c r="G499" s="44" t="s">
        <v>108</v>
      </c>
      <c r="H499" s="44" t="s">
        <v>122</v>
      </c>
      <c r="I499" s="44" t="s">
        <v>656</v>
      </c>
      <c r="J499" s="44">
        <v>82</v>
      </c>
      <c r="K499" s="44">
        <v>2</v>
      </c>
      <c r="L499" s="45">
        <v>5153</v>
      </c>
      <c r="M499" s="44">
        <v>10500</v>
      </c>
      <c r="N499" s="46">
        <f t="shared" si="14"/>
        <v>8.0000000000000002E-3</v>
      </c>
      <c r="O499" s="47">
        <f t="shared" si="15"/>
        <v>0.49076190476190479</v>
      </c>
      <c r="P499" s="44">
        <v>11</v>
      </c>
      <c r="Q499" s="44">
        <v>1</v>
      </c>
      <c r="R499" s="44">
        <v>3</v>
      </c>
      <c r="S499" s="44" t="s">
        <v>1068</v>
      </c>
      <c r="T499" s="44" t="s">
        <v>1068</v>
      </c>
      <c r="U499" s="44"/>
      <c r="V499" s="44" t="s">
        <v>2808</v>
      </c>
      <c r="W499" s="44" t="s">
        <v>2809</v>
      </c>
      <c r="X499" s="48" t="s">
        <v>2810</v>
      </c>
      <c r="Y499" s="44" t="s">
        <v>2809</v>
      </c>
    </row>
    <row r="500" spans="1:25" x14ac:dyDescent="0.25">
      <c r="A500" s="44" t="s">
        <v>2553</v>
      </c>
      <c r="B500" s="44" t="s">
        <v>228</v>
      </c>
      <c r="C500" s="44" t="s">
        <v>1497</v>
      </c>
      <c r="D500" s="44" t="s">
        <v>148</v>
      </c>
      <c r="E500" s="44" t="s">
        <v>132</v>
      </c>
      <c r="F500" s="44">
        <v>12</v>
      </c>
      <c r="G500" s="44" t="s">
        <v>111</v>
      </c>
      <c r="H500" s="44" t="s">
        <v>119</v>
      </c>
      <c r="I500" s="44" t="s">
        <v>650</v>
      </c>
      <c r="J500" s="44">
        <v>12</v>
      </c>
      <c r="K500" s="44">
        <v>0</v>
      </c>
      <c r="L500" s="45"/>
      <c r="M500" s="44">
        <v>10500</v>
      </c>
      <c r="N500" s="46">
        <f t="shared" si="14"/>
        <v>1.1428571428571429E-3</v>
      </c>
      <c r="O500" s="47" t="str">
        <f t="shared" si="15"/>
        <v/>
      </c>
      <c r="P500" s="44">
        <v>90</v>
      </c>
      <c r="Q500" s="44">
        <v>5</v>
      </c>
      <c r="R500" s="44">
        <v>7</v>
      </c>
      <c r="S500" s="44" t="s">
        <v>1067</v>
      </c>
      <c r="T500" s="44" t="s">
        <v>1067</v>
      </c>
      <c r="U500" s="44" t="s">
        <v>2811</v>
      </c>
      <c r="V500" s="44"/>
      <c r="W500" s="44" t="s">
        <v>2812</v>
      </c>
      <c r="X500" s="48" t="s">
        <v>2813</v>
      </c>
      <c r="Y500" s="44" t="s">
        <v>2814</v>
      </c>
    </row>
    <row r="501" spans="1:25" x14ac:dyDescent="0.25">
      <c r="A501" s="44" t="s">
        <v>2553</v>
      </c>
      <c r="B501" s="44" t="s">
        <v>228</v>
      </c>
      <c r="C501" s="44" t="s">
        <v>1497</v>
      </c>
      <c r="D501" s="44" t="s">
        <v>148</v>
      </c>
      <c r="E501" s="44" t="s">
        <v>132</v>
      </c>
      <c r="F501" s="44">
        <v>8</v>
      </c>
      <c r="G501" s="44" t="s">
        <v>111</v>
      </c>
      <c r="H501" s="44" t="s">
        <v>114</v>
      </c>
      <c r="I501" s="44" t="s">
        <v>656</v>
      </c>
      <c r="J501" s="44">
        <v>36</v>
      </c>
      <c r="K501" s="44">
        <v>2</v>
      </c>
      <c r="L501" s="45"/>
      <c r="M501" s="44">
        <v>10500</v>
      </c>
      <c r="N501" s="46">
        <f t="shared" si="14"/>
        <v>3.619047619047619E-3</v>
      </c>
      <c r="O501" s="47" t="str">
        <f t="shared" si="15"/>
        <v/>
      </c>
      <c r="P501" s="44">
        <v>42</v>
      </c>
      <c r="Q501" s="44">
        <v>5</v>
      </c>
      <c r="R501" s="44">
        <v>2</v>
      </c>
      <c r="S501" s="44" t="s">
        <v>1067</v>
      </c>
      <c r="T501" s="44" t="s">
        <v>1068</v>
      </c>
      <c r="U501" s="44"/>
      <c r="V501" s="44"/>
      <c r="W501" s="44" t="s">
        <v>2815</v>
      </c>
      <c r="X501" s="48" t="s">
        <v>2816</v>
      </c>
      <c r="Y501" s="44" t="s">
        <v>2817</v>
      </c>
    </row>
    <row r="502" spans="1:25" x14ac:dyDescent="0.25">
      <c r="A502" s="44" t="s">
        <v>2553</v>
      </c>
      <c r="B502" s="44" t="s">
        <v>228</v>
      </c>
      <c r="C502" s="44" t="s">
        <v>1118</v>
      </c>
      <c r="D502" s="44" t="s">
        <v>148</v>
      </c>
      <c r="E502" s="44" t="s">
        <v>130</v>
      </c>
      <c r="F502" s="44">
        <v>14</v>
      </c>
      <c r="G502" s="44" t="s">
        <v>108</v>
      </c>
      <c r="H502" s="44" t="s">
        <v>121</v>
      </c>
      <c r="I502" s="44" t="s">
        <v>629</v>
      </c>
      <c r="J502" s="44">
        <v>12</v>
      </c>
      <c r="K502" s="44">
        <v>1</v>
      </c>
      <c r="L502" s="45">
        <v>930</v>
      </c>
      <c r="M502" s="44">
        <v>10500</v>
      </c>
      <c r="N502" s="46">
        <f t="shared" si="14"/>
        <v>1.238095238095238E-3</v>
      </c>
      <c r="O502" s="47">
        <f t="shared" si="15"/>
        <v>8.8571428571428565E-2</v>
      </c>
      <c r="P502" s="44">
        <v>55</v>
      </c>
      <c r="Q502" s="44">
        <v>5</v>
      </c>
      <c r="R502" s="44">
        <v>2</v>
      </c>
      <c r="S502" s="44" t="s">
        <v>1068</v>
      </c>
      <c r="T502" s="44" t="s">
        <v>1068</v>
      </c>
      <c r="U502" s="44" t="s">
        <v>2818</v>
      </c>
      <c r="V502" s="44"/>
      <c r="W502" s="44" t="s">
        <v>2819</v>
      </c>
      <c r="X502" s="48" t="s">
        <v>2820</v>
      </c>
      <c r="Y502" s="44" t="s">
        <v>2821</v>
      </c>
    </row>
    <row r="503" spans="1:25" x14ac:dyDescent="0.25">
      <c r="A503" s="44" t="s">
        <v>2553</v>
      </c>
      <c r="B503" s="44" t="s">
        <v>228</v>
      </c>
      <c r="C503" s="44" t="s">
        <v>1118</v>
      </c>
      <c r="D503" s="44" t="s">
        <v>148</v>
      </c>
      <c r="E503" s="44" t="s">
        <v>130</v>
      </c>
      <c r="F503" s="44">
        <v>10</v>
      </c>
      <c r="G503" s="44" t="s">
        <v>111</v>
      </c>
      <c r="H503" s="44" t="s">
        <v>121</v>
      </c>
      <c r="I503" s="44" t="s">
        <v>656</v>
      </c>
      <c r="J503" s="44">
        <v>12</v>
      </c>
      <c r="K503" s="44">
        <v>0</v>
      </c>
      <c r="L503" s="45"/>
      <c r="M503" s="44">
        <v>10500</v>
      </c>
      <c r="N503" s="46">
        <f t="shared" si="14"/>
        <v>1.1428571428571429E-3</v>
      </c>
      <c r="O503" s="47" t="str">
        <f t="shared" si="15"/>
        <v/>
      </c>
      <c r="P503" s="44">
        <v>66</v>
      </c>
      <c r="Q503" s="44">
        <v>5</v>
      </c>
      <c r="R503" s="44">
        <v>4</v>
      </c>
      <c r="S503" s="44" t="s">
        <v>1067</v>
      </c>
      <c r="T503" s="44" t="s">
        <v>1068</v>
      </c>
      <c r="U503" s="44" t="s">
        <v>2822</v>
      </c>
      <c r="V503" s="44"/>
      <c r="W503" s="44" t="s">
        <v>2823</v>
      </c>
      <c r="X503" s="48" t="s">
        <v>2824</v>
      </c>
      <c r="Y503" s="44" t="s">
        <v>2825</v>
      </c>
    </row>
    <row r="504" spans="1:25" x14ac:dyDescent="0.25">
      <c r="A504" s="44" t="s">
        <v>2553</v>
      </c>
      <c r="B504" s="44" t="s">
        <v>228</v>
      </c>
      <c r="C504" s="44" t="s">
        <v>1118</v>
      </c>
      <c r="D504" s="44" t="s">
        <v>148</v>
      </c>
      <c r="E504" s="44" t="s">
        <v>130</v>
      </c>
      <c r="F504" s="44">
        <v>10</v>
      </c>
      <c r="G504" s="44" t="s">
        <v>108</v>
      </c>
      <c r="H504" s="44" t="s">
        <v>121</v>
      </c>
      <c r="I504" s="44" t="s">
        <v>656</v>
      </c>
      <c r="J504" s="44">
        <v>93</v>
      </c>
      <c r="K504" s="44">
        <v>5</v>
      </c>
      <c r="L504" s="45">
        <v>4619</v>
      </c>
      <c r="M504" s="44">
        <v>10500</v>
      </c>
      <c r="N504" s="46">
        <f t="shared" si="14"/>
        <v>9.3333333333333341E-3</v>
      </c>
      <c r="O504" s="47">
        <f t="shared" si="15"/>
        <v>0.43990476190476191</v>
      </c>
      <c r="P504" s="44">
        <v>71</v>
      </c>
      <c r="Q504" s="44">
        <v>4</v>
      </c>
      <c r="R504" s="44">
        <v>1</v>
      </c>
      <c r="S504" s="44" t="s">
        <v>1068</v>
      </c>
      <c r="T504" s="44" t="s">
        <v>1067</v>
      </c>
      <c r="U504" s="44"/>
      <c r="V504" s="44" t="s">
        <v>2553</v>
      </c>
      <c r="W504" s="44" t="s">
        <v>2826</v>
      </c>
      <c r="X504" s="48" t="s">
        <v>2827</v>
      </c>
      <c r="Y504" s="44" t="s">
        <v>2828</v>
      </c>
    </row>
    <row r="505" spans="1:25" x14ac:dyDescent="0.25">
      <c r="A505" s="44" t="s">
        <v>2553</v>
      </c>
      <c r="B505" s="44" t="s">
        <v>228</v>
      </c>
      <c r="C505" s="44" t="s">
        <v>1122</v>
      </c>
      <c r="D505" s="44" t="s">
        <v>148</v>
      </c>
      <c r="E505" s="44" t="s">
        <v>128</v>
      </c>
      <c r="F505" s="44">
        <v>14</v>
      </c>
      <c r="G505" s="44" t="s">
        <v>108</v>
      </c>
      <c r="H505" s="44" t="s">
        <v>114</v>
      </c>
      <c r="I505" s="44" t="s">
        <v>656</v>
      </c>
      <c r="J505" s="44">
        <v>14809</v>
      </c>
      <c r="K505" s="44">
        <v>87</v>
      </c>
      <c r="L505" s="45">
        <v>744676</v>
      </c>
      <c r="M505" s="44">
        <v>10500</v>
      </c>
      <c r="N505" s="46">
        <f t="shared" si="14"/>
        <v>1.4186666666666667</v>
      </c>
      <c r="O505" s="47">
        <f t="shared" si="15"/>
        <v>70.921523809523805</v>
      </c>
      <c r="P505" s="44">
        <v>155</v>
      </c>
      <c r="Q505" s="44">
        <v>5</v>
      </c>
      <c r="R505" s="44">
        <v>5</v>
      </c>
      <c r="S505" s="44" t="s">
        <v>1068</v>
      </c>
      <c r="T505" s="44" t="s">
        <v>1067</v>
      </c>
      <c r="U505" s="44" t="s">
        <v>2595</v>
      </c>
      <c r="V505" s="44" t="s">
        <v>2829</v>
      </c>
      <c r="W505" s="44" t="s">
        <v>307</v>
      </c>
      <c r="X505" s="48" t="s">
        <v>2830</v>
      </c>
      <c r="Y505" s="44" t="s">
        <v>2831</v>
      </c>
    </row>
    <row r="506" spans="1:25" x14ac:dyDescent="0.25">
      <c r="A506" s="44" t="s">
        <v>2553</v>
      </c>
      <c r="B506" s="44" t="s">
        <v>228</v>
      </c>
      <c r="C506" s="44" t="s">
        <v>1122</v>
      </c>
      <c r="D506" s="44" t="s">
        <v>148</v>
      </c>
      <c r="E506" s="44" t="s">
        <v>128</v>
      </c>
      <c r="F506" s="44">
        <v>14</v>
      </c>
      <c r="G506" s="44" t="s">
        <v>108</v>
      </c>
      <c r="H506" s="44" t="s">
        <v>120</v>
      </c>
      <c r="I506" s="44" t="s">
        <v>656</v>
      </c>
      <c r="J506" s="44">
        <v>77</v>
      </c>
      <c r="K506" s="44">
        <v>1</v>
      </c>
      <c r="L506" s="45">
        <v>11467</v>
      </c>
      <c r="M506" s="44">
        <v>10500</v>
      </c>
      <c r="N506" s="46">
        <f t="shared" si="14"/>
        <v>7.4285714285714285E-3</v>
      </c>
      <c r="O506" s="47">
        <f t="shared" si="15"/>
        <v>1.092095238095238</v>
      </c>
      <c r="P506" s="44">
        <v>67</v>
      </c>
      <c r="Q506" s="44">
        <v>5</v>
      </c>
      <c r="R506" s="44">
        <v>4</v>
      </c>
      <c r="S506" s="44" t="s">
        <v>1067</v>
      </c>
      <c r="T506" s="44" t="s">
        <v>1067</v>
      </c>
      <c r="U506" s="44" t="s">
        <v>2832</v>
      </c>
      <c r="V506" s="44"/>
      <c r="W506" s="44" t="s">
        <v>2833</v>
      </c>
      <c r="X506" s="48" t="s">
        <v>2834</v>
      </c>
      <c r="Y506" s="44" t="s">
        <v>2835</v>
      </c>
    </row>
    <row r="507" spans="1:25" x14ac:dyDescent="0.25">
      <c r="A507" s="44" t="s">
        <v>2553</v>
      </c>
      <c r="B507" s="44" t="s">
        <v>228</v>
      </c>
      <c r="C507" s="44" t="s">
        <v>1122</v>
      </c>
      <c r="D507" s="44" t="s">
        <v>148</v>
      </c>
      <c r="E507" s="44" t="s">
        <v>128</v>
      </c>
      <c r="F507" s="44">
        <v>8</v>
      </c>
      <c r="G507" s="44" t="s">
        <v>111</v>
      </c>
      <c r="H507" s="44" t="s">
        <v>119</v>
      </c>
      <c r="I507" s="44" t="s">
        <v>656</v>
      </c>
      <c r="J507" s="44">
        <v>13</v>
      </c>
      <c r="K507" s="44">
        <v>0</v>
      </c>
      <c r="L507" s="45"/>
      <c r="M507" s="44">
        <v>10500</v>
      </c>
      <c r="N507" s="46">
        <f t="shared" si="14"/>
        <v>1.238095238095238E-3</v>
      </c>
      <c r="O507" s="47" t="str">
        <f t="shared" si="15"/>
        <v/>
      </c>
      <c r="P507" s="44">
        <v>133</v>
      </c>
      <c r="Q507" s="44">
        <v>5</v>
      </c>
      <c r="R507" s="44">
        <v>5</v>
      </c>
      <c r="S507" s="44" t="s">
        <v>1068</v>
      </c>
      <c r="T507" s="44" t="s">
        <v>1068</v>
      </c>
      <c r="U507" s="44" t="s">
        <v>2562</v>
      </c>
      <c r="V507" s="44"/>
      <c r="W507" s="44" t="s">
        <v>2836</v>
      </c>
      <c r="X507" s="48" t="s">
        <v>2837</v>
      </c>
      <c r="Y507" s="44" t="s">
        <v>2838</v>
      </c>
    </row>
    <row r="508" spans="1:25" x14ac:dyDescent="0.25">
      <c r="A508" s="44" t="s">
        <v>2553</v>
      </c>
      <c r="B508" s="44" t="s">
        <v>228</v>
      </c>
      <c r="C508" s="44" t="s">
        <v>195</v>
      </c>
      <c r="D508" s="44" t="s">
        <v>148</v>
      </c>
      <c r="E508" s="44" t="s">
        <v>126</v>
      </c>
      <c r="F508" s="44">
        <v>14</v>
      </c>
      <c r="G508" s="44" t="s">
        <v>111</v>
      </c>
      <c r="H508" s="44" t="s">
        <v>119</v>
      </c>
      <c r="I508" s="44" t="s">
        <v>656</v>
      </c>
      <c r="J508" s="44">
        <v>13</v>
      </c>
      <c r="K508" s="44">
        <v>0</v>
      </c>
      <c r="L508" s="45"/>
      <c r="M508" s="44">
        <v>10500</v>
      </c>
      <c r="N508" s="46">
        <f t="shared" si="14"/>
        <v>1.238095238095238E-3</v>
      </c>
      <c r="O508" s="47" t="str">
        <f t="shared" si="15"/>
        <v/>
      </c>
      <c r="P508" s="44">
        <v>86</v>
      </c>
      <c r="Q508" s="44">
        <v>5</v>
      </c>
      <c r="R508" s="44">
        <v>4</v>
      </c>
      <c r="S508" s="44" t="s">
        <v>1067</v>
      </c>
      <c r="T508" s="44" t="s">
        <v>1067</v>
      </c>
      <c r="U508" s="44" t="s">
        <v>2839</v>
      </c>
      <c r="V508" s="44"/>
      <c r="W508" s="44" t="s">
        <v>2840</v>
      </c>
      <c r="X508" s="48" t="s">
        <v>2841</v>
      </c>
      <c r="Y508" s="44" t="s">
        <v>2842</v>
      </c>
    </row>
    <row r="509" spans="1:25" x14ac:dyDescent="0.25">
      <c r="A509" s="44" t="s">
        <v>2553</v>
      </c>
      <c r="B509" s="44" t="s">
        <v>228</v>
      </c>
      <c r="C509" s="44" t="s">
        <v>195</v>
      </c>
      <c r="D509" s="44" t="s">
        <v>148</v>
      </c>
      <c r="E509" s="44" t="s">
        <v>126</v>
      </c>
      <c r="F509" s="44">
        <v>11</v>
      </c>
      <c r="G509" s="44" t="s">
        <v>111</v>
      </c>
      <c r="H509" s="44" t="s">
        <v>117</v>
      </c>
      <c r="I509" s="44" t="s">
        <v>629</v>
      </c>
      <c r="J509" s="44">
        <v>26</v>
      </c>
      <c r="K509" s="44">
        <v>2</v>
      </c>
      <c r="L509" s="45"/>
      <c r="M509" s="44">
        <v>10500</v>
      </c>
      <c r="N509" s="46">
        <f t="shared" si="14"/>
        <v>2.6666666666666666E-3</v>
      </c>
      <c r="O509" s="47" t="str">
        <f t="shared" si="15"/>
        <v/>
      </c>
      <c r="P509" s="44">
        <v>46</v>
      </c>
      <c r="Q509" s="44">
        <v>5</v>
      </c>
      <c r="R509" s="44">
        <v>1</v>
      </c>
      <c r="S509" s="44" t="s">
        <v>1068</v>
      </c>
      <c r="T509" s="44" t="s">
        <v>1068</v>
      </c>
      <c r="U509" s="44" t="s">
        <v>2688</v>
      </c>
      <c r="V509" s="44"/>
      <c r="W509" s="44" t="s">
        <v>2843</v>
      </c>
      <c r="X509" s="48" t="s">
        <v>2844</v>
      </c>
      <c r="Y509" s="44" t="s">
        <v>2845</v>
      </c>
    </row>
    <row r="510" spans="1:25" x14ac:dyDescent="0.25">
      <c r="A510" s="44" t="s">
        <v>2553</v>
      </c>
      <c r="B510" s="44" t="s">
        <v>228</v>
      </c>
      <c r="C510" s="44" t="s">
        <v>195</v>
      </c>
      <c r="D510" s="44" t="s">
        <v>148</v>
      </c>
      <c r="E510" s="44" t="s">
        <v>126</v>
      </c>
      <c r="F510" s="44">
        <v>8</v>
      </c>
      <c r="G510" s="44" t="s">
        <v>111</v>
      </c>
      <c r="H510" s="44" t="s">
        <v>119</v>
      </c>
      <c r="I510" s="44" t="s">
        <v>629</v>
      </c>
      <c r="J510" s="44">
        <v>8</v>
      </c>
      <c r="K510" s="44">
        <v>0</v>
      </c>
      <c r="L510" s="45"/>
      <c r="M510" s="44">
        <v>10500</v>
      </c>
      <c r="N510" s="46">
        <f t="shared" si="14"/>
        <v>7.6190476190476193E-4</v>
      </c>
      <c r="O510" s="47" t="str">
        <f t="shared" si="15"/>
        <v/>
      </c>
      <c r="P510" s="44">
        <v>103</v>
      </c>
      <c r="Q510" s="44">
        <v>5</v>
      </c>
      <c r="R510" s="44">
        <v>4</v>
      </c>
      <c r="S510" s="44" t="s">
        <v>1067</v>
      </c>
      <c r="T510" s="44" t="s">
        <v>1068</v>
      </c>
      <c r="U510" s="44" t="s">
        <v>2654</v>
      </c>
      <c r="V510" s="44"/>
      <c r="W510" s="44" t="s">
        <v>2846</v>
      </c>
      <c r="X510" s="48" t="s">
        <v>2847</v>
      </c>
      <c r="Y510" s="44" t="s">
        <v>2848</v>
      </c>
    </row>
    <row r="511" spans="1:25" x14ac:dyDescent="0.25">
      <c r="A511" s="44" t="s">
        <v>2553</v>
      </c>
      <c r="B511" s="44" t="s">
        <v>228</v>
      </c>
      <c r="C511" s="44" t="s">
        <v>2849</v>
      </c>
      <c r="D511" s="44" t="s">
        <v>148</v>
      </c>
      <c r="E511" s="44" t="s">
        <v>137</v>
      </c>
      <c r="F511" s="44">
        <v>15</v>
      </c>
      <c r="G511" s="44" t="s">
        <v>108</v>
      </c>
      <c r="H511" s="44" t="s">
        <v>121</v>
      </c>
      <c r="I511" s="44" t="s">
        <v>656</v>
      </c>
      <c r="J511" s="44">
        <v>75</v>
      </c>
      <c r="K511" s="44">
        <v>1</v>
      </c>
      <c r="L511" s="45">
        <v>4828</v>
      </c>
      <c r="M511" s="44">
        <v>10500</v>
      </c>
      <c r="N511" s="46">
        <f t="shared" si="14"/>
        <v>7.2380952380952379E-3</v>
      </c>
      <c r="O511" s="47">
        <f t="shared" si="15"/>
        <v>0.45980952380952383</v>
      </c>
      <c r="P511" s="44">
        <v>41</v>
      </c>
      <c r="Q511" s="44">
        <v>5</v>
      </c>
      <c r="R511" s="44">
        <v>6</v>
      </c>
      <c r="S511" s="44" t="s">
        <v>1067</v>
      </c>
      <c r="T511" s="44" t="s">
        <v>1068</v>
      </c>
      <c r="U511" s="44" t="s">
        <v>2677</v>
      </c>
      <c r="V511" s="44"/>
      <c r="W511" s="44" t="s">
        <v>2850</v>
      </c>
      <c r="X511" s="48" t="s">
        <v>2851</v>
      </c>
      <c r="Y511" s="44" t="s">
        <v>2852</v>
      </c>
    </row>
    <row r="512" spans="1:25" x14ac:dyDescent="0.25">
      <c r="A512" s="44" t="s">
        <v>2553</v>
      </c>
      <c r="B512" s="44" t="s">
        <v>228</v>
      </c>
      <c r="C512" s="44" t="s">
        <v>1127</v>
      </c>
      <c r="D512" s="44" t="s">
        <v>148</v>
      </c>
      <c r="E512" s="44" t="s">
        <v>134</v>
      </c>
      <c r="F512" s="44">
        <v>12</v>
      </c>
      <c r="G512" s="44" t="s">
        <v>111</v>
      </c>
      <c r="H512" s="44" t="s">
        <v>119</v>
      </c>
      <c r="I512" s="44" t="s">
        <v>629</v>
      </c>
      <c r="J512" s="44">
        <v>6</v>
      </c>
      <c r="K512" s="44">
        <v>2</v>
      </c>
      <c r="L512" s="45"/>
      <c r="M512" s="44">
        <v>10500</v>
      </c>
      <c r="N512" s="46">
        <f t="shared" si="14"/>
        <v>7.6190476190476193E-4</v>
      </c>
      <c r="O512" s="47" t="str">
        <f t="shared" si="15"/>
        <v/>
      </c>
      <c r="P512" s="44">
        <v>71</v>
      </c>
      <c r="Q512" s="44">
        <v>5</v>
      </c>
      <c r="R512" s="44">
        <v>4</v>
      </c>
      <c r="S512" s="44" t="s">
        <v>1067</v>
      </c>
      <c r="T512" s="44" t="s">
        <v>1068</v>
      </c>
      <c r="U512" s="44" t="s">
        <v>2777</v>
      </c>
      <c r="V512" s="44"/>
      <c r="W512" s="44" t="s">
        <v>2853</v>
      </c>
      <c r="X512" s="48" t="s">
        <v>2854</v>
      </c>
      <c r="Y512" s="44" t="s">
        <v>2855</v>
      </c>
    </row>
    <row r="513" spans="1:25" x14ac:dyDescent="0.25">
      <c r="A513" s="44" t="s">
        <v>2553</v>
      </c>
      <c r="B513" s="44" t="s">
        <v>228</v>
      </c>
      <c r="C513" s="44" t="s">
        <v>1127</v>
      </c>
      <c r="D513" s="44" t="s">
        <v>148</v>
      </c>
      <c r="E513" s="44" t="s">
        <v>134</v>
      </c>
      <c r="F513" s="44">
        <v>7</v>
      </c>
      <c r="G513" s="44" t="s">
        <v>111</v>
      </c>
      <c r="H513" s="44" t="s">
        <v>122</v>
      </c>
      <c r="I513" s="44" t="s">
        <v>656</v>
      </c>
      <c r="J513" s="44">
        <v>46</v>
      </c>
      <c r="K513" s="44">
        <v>1</v>
      </c>
      <c r="L513" s="45"/>
      <c r="M513" s="44">
        <v>10500</v>
      </c>
      <c r="N513" s="46">
        <f t="shared" si="14"/>
        <v>4.4761904761904765E-3</v>
      </c>
      <c r="O513" s="47" t="str">
        <f t="shared" si="15"/>
        <v/>
      </c>
      <c r="P513" s="44">
        <v>5</v>
      </c>
      <c r="Q513" s="44">
        <v>0</v>
      </c>
      <c r="R513" s="44">
        <v>0</v>
      </c>
      <c r="S513" s="44" t="s">
        <v>1068</v>
      </c>
      <c r="T513" s="44" t="s">
        <v>1068</v>
      </c>
      <c r="U513" s="44"/>
      <c r="V513" s="44"/>
      <c r="W513" s="44" t="s">
        <v>2856</v>
      </c>
      <c r="X513" s="48" t="s">
        <v>2857</v>
      </c>
      <c r="Y513" s="44" t="s">
        <v>2856</v>
      </c>
    </row>
    <row r="514" spans="1:25" x14ac:dyDescent="0.25">
      <c r="A514" s="44" t="s">
        <v>2553</v>
      </c>
      <c r="B514" s="44" t="s">
        <v>228</v>
      </c>
      <c r="C514" s="44" t="s">
        <v>1131</v>
      </c>
      <c r="D514" s="44" t="s">
        <v>148</v>
      </c>
      <c r="E514" s="44" t="s">
        <v>132</v>
      </c>
      <c r="F514" s="44">
        <v>8</v>
      </c>
      <c r="G514" s="44" t="s">
        <v>111</v>
      </c>
      <c r="H514" s="44" t="s">
        <v>121</v>
      </c>
      <c r="I514" s="44" t="s">
        <v>656</v>
      </c>
      <c r="J514" s="44">
        <v>8</v>
      </c>
      <c r="K514" s="44">
        <v>0</v>
      </c>
      <c r="L514" s="45"/>
      <c r="M514" s="44">
        <v>10500</v>
      </c>
      <c r="N514" s="46">
        <f t="shared" ref="N514:N577" si="16">(J514+K514)/M514</f>
        <v>7.6190476190476193E-4</v>
      </c>
      <c r="O514" s="47" t="str">
        <f t="shared" ref="O514:O537" si="17">IF(L514="","",L514/M514)</f>
        <v/>
      </c>
      <c r="P514" s="44">
        <v>94</v>
      </c>
      <c r="Q514" s="44">
        <v>5</v>
      </c>
      <c r="R514" s="44">
        <v>7</v>
      </c>
      <c r="S514" s="44" t="s">
        <v>1067</v>
      </c>
      <c r="T514" s="44" t="s">
        <v>1068</v>
      </c>
      <c r="U514" s="44" t="s">
        <v>2818</v>
      </c>
      <c r="V514" s="44"/>
      <c r="W514" s="44" t="s">
        <v>2858</v>
      </c>
      <c r="X514" s="48" t="s">
        <v>2859</v>
      </c>
      <c r="Y514" s="44" t="s">
        <v>2860</v>
      </c>
    </row>
    <row r="515" spans="1:25" x14ac:dyDescent="0.25">
      <c r="A515" s="44" t="s">
        <v>2553</v>
      </c>
      <c r="B515" s="44" t="s">
        <v>228</v>
      </c>
      <c r="C515" s="44" t="s">
        <v>1508</v>
      </c>
      <c r="D515" s="44" t="s">
        <v>148</v>
      </c>
      <c r="E515" s="44" t="s">
        <v>130</v>
      </c>
      <c r="F515" s="44">
        <v>15</v>
      </c>
      <c r="G515" s="44" t="s">
        <v>108</v>
      </c>
      <c r="H515" s="44" t="s">
        <v>121</v>
      </c>
      <c r="I515" s="44" t="s">
        <v>650</v>
      </c>
      <c r="J515" s="44">
        <v>1059</v>
      </c>
      <c r="K515" s="44">
        <v>17</v>
      </c>
      <c r="L515" s="45">
        <v>69032</v>
      </c>
      <c r="M515" s="44">
        <v>10500</v>
      </c>
      <c r="N515" s="46">
        <f t="shared" si="16"/>
        <v>0.10247619047619047</v>
      </c>
      <c r="O515" s="47">
        <f t="shared" si="17"/>
        <v>6.5744761904761901</v>
      </c>
      <c r="P515" s="44">
        <v>220</v>
      </c>
      <c r="Q515" s="44">
        <v>5</v>
      </c>
      <c r="R515" s="44">
        <v>13</v>
      </c>
      <c r="S515" s="44" t="s">
        <v>1068</v>
      </c>
      <c r="T515" s="44" t="s">
        <v>1067</v>
      </c>
      <c r="U515" s="44" t="s">
        <v>2595</v>
      </c>
      <c r="V515" s="44" t="s">
        <v>2553</v>
      </c>
      <c r="W515" s="44" t="s">
        <v>2861</v>
      </c>
      <c r="X515" s="48" t="s">
        <v>2862</v>
      </c>
      <c r="Y515" s="44" t="s">
        <v>2863</v>
      </c>
    </row>
    <row r="516" spans="1:25" x14ac:dyDescent="0.25">
      <c r="A516" s="44" t="s">
        <v>2553</v>
      </c>
      <c r="B516" s="44" t="s">
        <v>228</v>
      </c>
      <c r="C516" s="44" t="s">
        <v>1508</v>
      </c>
      <c r="D516" s="44" t="s">
        <v>148</v>
      </c>
      <c r="E516" s="44" t="s">
        <v>130</v>
      </c>
      <c r="F516" s="44">
        <v>10</v>
      </c>
      <c r="G516" s="44" t="s">
        <v>111</v>
      </c>
      <c r="H516" s="44" t="s">
        <v>119</v>
      </c>
      <c r="I516" s="44" t="s">
        <v>629</v>
      </c>
      <c r="J516" s="44">
        <v>13</v>
      </c>
      <c r="K516" s="44">
        <v>2</v>
      </c>
      <c r="L516" s="45"/>
      <c r="M516" s="44">
        <v>10500</v>
      </c>
      <c r="N516" s="46">
        <f t="shared" si="16"/>
        <v>1.4285714285714286E-3</v>
      </c>
      <c r="O516" s="47" t="str">
        <f t="shared" si="17"/>
        <v/>
      </c>
      <c r="P516" s="44">
        <v>93</v>
      </c>
      <c r="Q516" s="44">
        <v>5</v>
      </c>
      <c r="R516" s="44">
        <v>8</v>
      </c>
      <c r="S516" s="44" t="s">
        <v>1067</v>
      </c>
      <c r="T516" s="44" t="s">
        <v>1068</v>
      </c>
      <c r="U516" s="44" t="s">
        <v>2811</v>
      </c>
      <c r="V516" s="44"/>
      <c r="W516" s="44" t="s">
        <v>2864</v>
      </c>
      <c r="X516" s="48" t="s">
        <v>2865</v>
      </c>
      <c r="Y516" s="44" t="s">
        <v>2866</v>
      </c>
    </row>
    <row r="517" spans="1:25" x14ac:dyDescent="0.25">
      <c r="A517" s="44" t="s">
        <v>2553</v>
      </c>
      <c r="B517" s="44" t="s">
        <v>228</v>
      </c>
      <c r="C517" s="44" t="s">
        <v>1508</v>
      </c>
      <c r="D517" s="44" t="s">
        <v>148</v>
      </c>
      <c r="E517" s="44" t="s">
        <v>130</v>
      </c>
      <c r="F517" s="44">
        <v>8</v>
      </c>
      <c r="G517" s="44" t="s">
        <v>111</v>
      </c>
      <c r="H517" s="44" t="s">
        <v>117</v>
      </c>
      <c r="I517" s="44" t="s">
        <v>629</v>
      </c>
      <c r="J517" s="44">
        <v>7</v>
      </c>
      <c r="K517" s="44">
        <v>0</v>
      </c>
      <c r="L517" s="45"/>
      <c r="M517" s="44">
        <v>10500</v>
      </c>
      <c r="N517" s="46">
        <f t="shared" si="16"/>
        <v>6.6666666666666664E-4</v>
      </c>
      <c r="O517" s="47" t="str">
        <f t="shared" si="17"/>
        <v/>
      </c>
      <c r="P517" s="44">
        <v>78</v>
      </c>
      <c r="Q517" s="44">
        <v>5</v>
      </c>
      <c r="R517" s="44">
        <v>8</v>
      </c>
      <c r="S517" s="44" t="s">
        <v>1067</v>
      </c>
      <c r="T517" s="44" t="s">
        <v>1068</v>
      </c>
      <c r="U517" s="44" t="s">
        <v>2867</v>
      </c>
      <c r="V517" s="44"/>
      <c r="W517" s="44" t="s">
        <v>2868</v>
      </c>
      <c r="X517" s="48" t="s">
        <v>2869</v>
      </c>
      <c r="Y517" s="44" t="s">
        <v>2870</v>
      </c>
    </row>
    <row r="518" spans="1:25" x14ac:dyDescent="0.25">
      <c r="A518" s="44" t="s">
        <v>2553</v>
      </c>
      <c r="B518" s="44" t="s">
        <v>228</v>
      </c>
      <c r="C518" s="44" t="s">
        <v>1135</v>
      </c>
      <c r="D518" s="44" t="s">
        <v>148</v>
      </c>
      <c r="E518" s="44" t="s">
        <v>128</v>
      </c>
      <c r="F518" s="44">
        <v>17</v>
      </c>
      <c r="G518" s="44" t="s">
        <v>108</v>
      </c>
      <c r="H518" s="44" t="s">
        <v>122</v>
      </c>
      <c r="I518" s="44" t="s">
        <v>656</v>
      </c>
      <c r="J518" s="44">
        <v>39</v>
      </c>
      <c r="K518" s="44">
        <v>1</v>
      </c>
      <c r="L518" s="45">
        <v>1671</v>
      </c>
      <c r="M518" s="44">
        <v>10500</v>
      </c>
      <c r="N518" s="46">
        <f t="shared" si="16"/>
        <v>3.8095238095238095E-3</v>
      </c>
      <c r="O518" s="47">
        <f t="shared" si="17"/>
        <v>0.15914285714285714</v>
      </c>
      <c r="P518" s="44">
        <v>14</v>
      </c>
      <c r="Q518" s="44">
        <v>3</v>
      </c>
      <c r="R518" s="44">
        <v>4</v>
      </c>
      <c r="S518" s="44" t="s">
        <v>1068</v>
      </c>
      <c r="T518" s="44" t="s">
        <v>1068</v>
      </c>
      <c r="U518" s="44" t="s">
        <v>2747</v>
      </c>
      <c r="V518" s="44" t="s">
        <v>2748</v>
      </c>
      <c r="W518" s="44" t="s">
        <v>2871</v>
      </c>
      <c r="X518" s="48" t="s">
        <v>2872</v>
      </c>
      <c r="Y518" s="44" t="s">
        <v>2873</v>
      </c>
    </row>
    <row r="519" spans="1:25" x14ac:dyDescent="0.25">
      <c r="A519" s="44" t="s">
        <v>2553</v>
      </c>
      <c r="B519" s="44" t="s">
        <v>228</v>
      </c>
      <c r="C519" s="44" t="s">
        <v>1135</v>
      </c>
      <c r="D519" s="44" t="s">
        <v>148</v>
      </c>
      <c r="E519" s="44" t="s">
        <v>128</v>
      </c>
      <c r="F519" s="44">
        <v>13</v>
      </c>
      <c r="G519" s="44" t="s">
        <v>108</v>
      </c>
      <c r="H519" s="44" t="s">
        <v>117</v>
      </c>
      <c r="I519" s="44" t="s">
        <v>656</v>
      </c>
      <c r="J519" s="44">
        <v>11</v>
      </c>
      <c r="K519" s="44">
        <v>0</v>
      </c>
      <c r="L519" s="45">
        <v>1233</v>
      </c>
      <c r="M519" s="44">
        <v>10500</v>
      </c>
      <c r="N519" s="46">
        <f t="shared" si="16"/>
        <v>1.0476190476190477E-3</v>
      </c>
      <c r="O519" s="47">
        <f t="shared" si="17"/>
        <v>0.11742857142857142</v>
      </c>
      <c r="P519" s="44">
        <v>53</v>
      </c>
      <c r="Q519" s="44">
        <v>5</v>
      </c>
      <c r="R519" s="44">
        <v>1</v>
      </c>
      <c r="S519" s="44" t="s">
        <v>1068</v>
      </c>
      <c r="T519" s="44" t="s">
        <v>1068</v>
      </c>
      <c r="U519" s="44" t="s">
        <v>2591</v>
      </c>
      <c r="V519" s="44"/>
      <c r="W519" s="44" t="s">
        <v>2874</v>
      </c>
      <c r="X519" s="48" t="s">
        <v>2875</v>
      </c>
      <c r="Y519" s="44" t="s">
        <v>2876</v>
      </c>
    </row>
    <row r="520" spans="1:25" x14ac:dyDescent="0.25">
      <c r="A520" s="44" t="s">
        <v>2553</v>
      </c>
      <c r="B520" s="44" t="s">
        <v>228</v>
      </c>
      <c r="C520" s="44" t="s">
        <v>1135</v>
      </c>
      <c r="D520" s="44" t="s">
        <v>148</v>
      </c>
      <c r="E520" s="44" t="s">
        <v>128</v>
      </c>
      <c r="F520" s="44">
        <v>8</v>
      </c>
      <c r="G520" s="44" t="s">
        <v>108</v>
      </c>
      <c r="H520" s="44" t="s">
        <v>121</v>
      </c>
      <c r="I520" s="44" t="s">
        <v>656</v>
      </c>
      <c r="J520" s="44">
        <v>9</v>
      </c>
      <c r="K520" s="44">
        <v>1</v>
      </c>
      <c r="L520" s="45">
        <v>1111</v>
      </c>
      <c r="M520" s="44">
        <v>10500</v>
      </c>
      <c r="N520" s="46">
        <f t="shared" si="16"/>
        <v>9.5238095238095238E-4</v>
      </c>
      <c r="O520" s="47">
        <f t="shared" si="17"/>
        <v>0.10580952380952381</v>
      </c>
      <c r="P520" s="44">
        <v>49</v>
      </c>
      <c r="Q520" s="44">
        <v>5</v>
      </c>
      <c r="R520" s="44">
        <v>3</v>
      </c>
      <c r="S520" s="44" t="s">
        <v>1068</v>
      </c>
      <c r="T520" s="44" t="s">
        <v>1068</v>
      </c>
      <c r="U520" s="44"/>
      <c r="V520" s="44"/>
      <c r="W520" s="44" t="s">
        <v>2877</v>
      </c>
      <c r="X520" s="48" t="s">
        <v>2878</v>
      </c>
      <c r="Y520" s="44" t="s">
        <v>2879</v>
      </c>
    </row>
    <row r="521" spans="1:25" x14ac:dyDescent="0.25">
      <c r="A521" s="44" t="s">
        <v>2553</v>
      </c>
      <c r="B521" s="44" t="s">
        <v>228</v>
      </c>
      <c r="C521" s="44" t="s">
        <v>1142</v>
      </c>
      <c r="D521" s="44" t="s">
        <v>148</v>
      </c>
      <c r="E521" s="44" t="s">
        <v>126</v>
      </c>
      <c r="F521" s="44">
        <v>9</v>
      </c>
      <c r="G521" s="44" t="s">
        <v>111</v>
      </c>
      <c r="H521" s="44" t="s">
        <v>119</v>
      </c>
      <c r="I521" s="44" t="s">
        <v>629</v>
      </c>
      <c r="J521" s="44">
        <v>8</v>
      </c>
      <c r="K521" s="44">
        <v>0</v>
      </c>
      <c r="L521" s="45"/>
      <c r="M521" s="44">
        <v>10500</v>
      </c>
      <c r="N521" s="46">
        <f t="shared" si="16"/>
        <v>7.6190476190476193E-4</v>
      </c>
      <c r="O521" s="47" t="str">
        <f t="shared" si="17"/>
        <v/>
      </c>
      <c r="P521" s="44">
        <v>35</v>
      </c>
      <c r="Q521" s="44">
        <v>0</v>
      </c>
      <c r="R521" s="44">
        <v>0</v>
      </c>
      <c r="S521" s="44" t="s">
        <v>1068</v>
      </c>
      <c r="T521" s="44" t="s">
        <v>1068</v>
      </c>
      <c r="U521" s="44"/>
      <c r="V521" s="44"/>
      <c r="W521" s="44" t="s">
        <v>2880</v>
      </c>
      <c r="X521" s="48" t="s">
        <v>2881</v>
      </c>
      <c r="Y521" s="44" t="s">
        <v>2882</v>
      </c>
    </row>
    <row r="522" spans="1:25" x14ac:dyDescent="0.25">
      <c r="A522" s="44" t="s">
        <v>2553</v>
      </c>
      <c r="B522" s="44" t="s">
        <v>228</v>
      </c>
      <c r="C522" s="44" t="s">
        <v>1146</v>
      </c>
      <c r="D522" s="44" t="s">
        <v>148</v>
      </c>
      <c r="E522" s="44" t="s">
        <v>134</v>
      </c>
      <c r="F522" s="44">
        <v>13</v>
      </c>
      <c r="G522" s="44" t="s">
        <v>108</v>
      </c>
      <c r="H522" s="44" t="s">
        <v>121</v>
      </c>
      <c r="I522" s="44" t="s">
        <v>656</v>
      </c>
      <c r="J522" s="44">
        <v>30</v>
      </c>
      <c r="K522" s="44">
        <v>2</v>
      </c>
      <c r="L522" s="45">
        <v>1686</v>
      </c>
      <c r="M522" s="44">
        <v>10500</v>
      </c>
      <c r="N522" s="46">
        <f t="shared" si="16"/>
        <v>3.0476190476190477E-3</v>
      </c>
      <c r="O522" s="47">
        <f t="shared" si="17"/>
        <v>0.16057142857142856</v>
      </c>
      <c r="P522" s="44">
        <v>107</v>
      </c>
      <c r="Q522" s="44">
        <v>5</v>
      </c>
      <c r="R522" s="44">
        <v>4</v>
      </c>
      <c r="S522" s="44" t="s">
        <v>1067</v>
      </c>
      <c r="T522" s="44" t="s">
        <v>1067</v>
      </c>
      <c r="U522" s="44" t="s">
        <v>2791</v>
      </c>
      <c r="V522" s="44"/>
      <c r="W522" s="44" t="s">
        <v>2883</v>
      </c>
      <c r="X522" s="48" t="s">
        <v>2884</v>
      </c>
      <c r="Y522" s="44" t="s">
        <v>2885</v>
      </c>
    </row>
    <row r="523" spans="1:25" x14ac:dyDescent="0.25">
      <c r="A523" s="44" t="s">
        <v>2553</v>
      </c>
      <c r="B523" s="44" t="s">
        <v>228</v>
      </c>
      <c r="C523" s="44" t="s">
        <v>1146</v>
      </c>
      <c r="D523" s="44" t="s">
        <v>148</v>
      </c>
      <c r="E523" s="44" t="s">
        <v>134</v>
      </c>
      <c r="F523" s="44">
        <v>8</v>
      </c>
      <c r="G523" s="44" t="s">
        <v>111</v>
      </c>
      <c r="H523" s="44" t="s">
        <v>117</v>
      </c>
      <c r="I523" s="44" t="s">
        <v>656</v>
      </c>
      <c r="J523" s="44">
        <v>11</v>
      </c>
      <c r="K523" s="44">
        <v>0</v>
      </c>
      <c r="L523" s="45"/>
      <c r="M523" s="44">
        <v>10500</v>
      </c>
      <c r="N523" s="46">
        <f t="shared" si="16"/>
        <v>1.0476190476190477E-3</v>
      </c>
      <c r="O523" s="47" t="str">
        <f t="shared" si="17"/>
        <v/>
      </c>
      <c r="P523" s="44">
        <v>62</v>
      </c>
      <c r="Q523" s="44">
        <v>5</v>
      </c>
      <c r="R523" s="44">
        <v>3</v>
      </c>
      <c r="S523" s="44" t="s">
        <v>1067</v>
      </c>
      <c r="T523" s="44" t="s">
        <v>1068</v>
      </c>
      <c r="U523" s="44" t="s">
        <v>2791</v>
      </c>
      <c r="V523" s="44"/>
      <c r="W523" s="44" t="s">
        <v>2886</v>
      </c>
      <c r="X523" s="48" t="s">
        <v>2887</v>
      </c>
      <c r="Y523" s="44" t="s">
        <v>2888</v>
      </c>
    </row>
    <row r="524" spans="1:25" x14ac:dyDescent="0.25">
      <c r="A524" s="44" t="s">
        <v>2553</v>
      </c>
      <c r="B524" s="44" t="s">
        <v>228</v>
      </c>
      <c r="C524" s="44" t="s">
        <v>1150</v>
      </c>
      <c r="D524" s="44" t="s">
        <v>148</v>
      </c>
      <c r="E524" s="44" t="s">
        <v>132</v>
      </c>
      <c r="F524" s="44">
        <v>9</v>
      </c>
      <c r="G524" s="44" t="s">
        <v>108</v>
      </c>
      <c r="H524" s="44" t="s">
        <v>121</v>
      </c>
      <c r="I524" s="44" t="s">
        <v>656</v>
      </c>
      <c r="J524" s="44">
        <v>18</v>
      </c>
      <c r="K524" s="44">
        <v>1</v>
      </c>
      <c r="L524" s="45">
        <v>1625</v>
      </c>
      <c r="M524" s="44">
        <v>10500</v>
      </c>
      <c r="N524" s="46">
        <f t="shared" si="16"/>
        <v>1.8095238095238095E-3</v>
      </c>
      <c r="O524" s="47">
        <f t="shared" si="17"/>
        <v>0.15476190476190477</v>
      </c>
      <c r="P524" s="44">
        <v>63</v>
      </c>
      <c r="Q524" s="44">
        <v>5</v>
      </c>
      <c r="R524" s="44">
        <v>9</v>
      </c>
      <c r="S524" s="44" t="s">
        <v>1067</v>
      </c>
      <c r="T524" s="44" t="s">
        <v>1067</v>
      </c>
      <c r="U524" s="44" t="s">
        <v>2730</v>
      </c>
      <c r="V524" s="44"/>
      <c r="W524" s="44" t="s">
        <v>2889</v>
      </c>
      <c r="X524" s="48" t="s">
        <v>2890</v>
      </c>
      <c r="Y524" s="44" t="s">
        <v>2891</v>
      </c>
    </row>
    <row r="525" spans="1:25" x14ac:dyDescent="0.25">
      <c r="A525" s="44" t="s">
        <v>2553</v>
      </c>
      <c r="B525" s="44" t="s">
        <v>228</v>
      </c>
      <c r="C525" s="44" t="s">
        <v>1150</v>
      </c>
      <c r="D525" s="44" t="s">
        <v>148</v>
      </c>
      <c r="E525" s="44" t="s">
        <v>132</v>
      </c>
      <c r="F525" s="44">
        <v>9</v>
      </c>
      <c r="G525" s="44" t="s">
        <v>111</v>
      </c>
      <c r="H525" s="44" t="s">
        <v>119</v>
      </c>
      <c r="I525" s="44" t="s">
        <v>629</v>
      </c>
      <c r="J525" s="44">
        <v>12</v>
      </c>
      <c r="K525" s="44">
        <v>0</v>
      </c>
      <c r="L525" s="45"/>
      <c r="M525" s="44">
        <v>10500</v>
      </c>
      <c r="N525" s="46">
        <f t="shared" si="16"/>
        <v>1.1428571428571429E-3</v>
      </c>
      <c r="O525" s="47" t="str">
        <f t="shared" si="17"/>
        <v/>
      </c>
      <c r="P525" s="44">
        <v>109</v>
      </c>
      <c r="Q525" s="44">
        <v>5</v>
      </c>
      <c r="R525" s="44">
        <v>8</v>
      </c>
      <c r="S525" s="44" t="s">
        <v>1067</v>
      </c>
      <c r="T525" s="44" t="s">
        <v>1068</v>
      </c>
      <c r="U525" s="44" t="s">
        <v>2562</v>
      </c>
      <c r="V525" s="44"/>
      <c r="W525" s="44" t="s">
        <v>2892</v>
      </c>
      <c r="X525" s="48" t="s">
        <v>2893</v>
      </c>
      <c r="Y525" s="44" t="s">
        <v>2894</v>
      </c>
    </row>
    <row r="526" spans="1:25" x14ac:dyDescent="0.25">
      <c r="A526" s="44" t="s">
        <v>2553</v>
      </c>
      <c r="B526" s="44" t="s">
        <v>228</v>
      </c>
      <c r="C526" s="44" t="s">
        <v>2895</v>
      </c>
      <c r="D526" s="44" t="s">
        <v>148</v>
      </c>
      <c r="E526" s="44" t="s">
        <v>130</v>
      </c>
      <c r="F526" s="44">
        <v>13</v>
      </c>
      <c r="G526" s="44" t="s">
        <v>109</v>
      </c>
      <c r="H526" s="44" t="s">
        <v>119</v>
      </c>
      <c r="I526" s="44" t="s">
        <v>638</v>
      </c>
      <c r="J526" s="44">
        <v>29</v>
      </c>
      <c r="K526" s="44">
        <v>1</v>
      </c>
      <c r="L526" s="45"/>
      <c r="M526" s="44">
        <v>10500</v>
      </c>
      <c r="N526" s="46">
        <f t="shared" si="16"/>
        <v>2.8571428571428571E-3</v>
      </c>
      <c r="O526" s="47" t="str">
        <f t="shared" si="17"/>
        <v/>
      </c>
      <c r="P526" s="44">
        <v>155</v>
      </c>
      <c r="Q526" s="44">
        <v>5</v>
      </c>
      <c r="R526" s="44">
        <v>1</v>
      </c>
      <c r="S526" s="44" t="s">
        <v>1067</v>
      </c>
      <c r="T526" s="44" t="s">
        <v>1067</v>
      </c>
      <c r="U526" s="44"/>
      <c r="V526" s="44"/>
      <c r="W526" s="44" t="s">
        <v>2896</v>
      </c>
      <c r="X526" s="48" t="s">
        <v>2897</v>
      </c>
      <c r="Y526" s="44" t="s">
        <v>2898</v>
      </c>
    </row>
    <row r="527" spans="1:25" x14ac:dyDescent="0.25">
      <c r="A527" s="44" t="s">
        <v>2553</v>
      </c>
      <c r="B527" s="44" t="s">
        <v>228</v>
      </c>
      <c r="C527" s="44" t="s">
        <v>2895</v>
      </c>
      <c r="D527" s="44" t="s">
        <v>148</v>
      </c>
      <c r="E527" s="44" t="s">
        <v>130</v>
      </c>
      <c r="F527" s="44">
        <v>9</v>
      </c>
      <c r="G527" s="44" t="s">
        <v>111</v>
      </c>
      <c r="H527" s="44" t="s">
        <v>119</v>
      </c>
      <c r="I527" s="44" t="s">
        <v>629</v>
      </c>
      <c r="J527" s="44">
        <v>4</v>
      </c>
      <c r="K527" s="44">
        <v>0</v>
      </c>
      <c r="L527" s="45"/>
      <c r="M527" s="44">
        <v>10500</v>
      </c>
      <c r="N527" s="46">
        <f t="shared" si="16"/>
        <v>3.8095238095238096E-4</v>
      </c>
      <c r="O527" s="47" t="str">
        <f t="shared" si="17"/>
        <v/>
      </c>
      <c r="P527" s="44">
        <v>115</v>
      </c>
      <c r="Q527" s="44">
        <v>5</v>
      </c>
      <c r="R527" s="44">
        <v>5</v>
      </c>
      <c r="S527" s="44" t="s">
        <v>1067</v>
      </c>
      <c r="T527" s="44" t="s">
        <v>1068</v>
      </c>
      <c r="U527" s="44" t="s">
        <v>2688</v>
      </c>
      <c r="V527" s="44"/>
      <c r="W527" s="44" t="s">
        <v>2899</v>
      </c>
      <c r="X527" s="48" t="s">
        <v>2900</v>
      </c>
      <c r="Y527" s="44" t="s">
        <v>2901</v>
      </c>
    </row>
    <row r="528" spans="1:25" x14ac:dyDescent="0.25">
      <c r="A528" s="44" t="s">
        <v>2553</v>
      </c>
      <c r="B528" s="44" t="s">
        <v>228</v>
      </c>
      <c r="C528" s="44" t="s">
        <v>1523</v>
      </c>
      <c r="D528" s="44" t="s">
        <v>148</v>
      </c>
      <c r="E528" s="44" t="s">
        <v>128</v>
      </c>
      <c r="F528" s="44">
        <v>13</v>
      </c>
      <c r="G528" s="44" t="s">
        <v>111</v>
      </c>
      <c r="H528" s="44" t="s">
        <v>119</v>
      </c>
      <c r="I528" s="44" t="s">
        <v>629</v>
      </c>
      <c r="J528" s="44">
        <v>23</v>
      </c>
      <c r="K528" s="44">
        <v>2</v>
      </c>
      <c r="L528" s="45"/>
      <c r="M528" s="44">
        <v>10500</v>
      </c>
      <c r="N528" s="46">
        <f t="shared" si="16"/>
        <v>2.3809523809523812E-3</v>
      </c>
      <c r="O528" s="47" t="str">
        <f t="shared" si="17"/>
        <v/>
      </c>
      <c r="P528" s="44">
        <v>39</v>
      </c>
      <c r="Q528" s="44">
        <v>5</v>
      </c>
      <c r="R528" s="44">
        <v>1</v>
      </c>
      <c r="S528" s="44" t="s">
        <v>1068</v>
      </c>
      <c r="T528" s="44" t="s">
        <v>1068</v>
      </c>
      <c r="U528" s="44"/>
      <c r="V528" s="44"/>
      <c r="W528" s="44" t="s">
        <v>2902</v>
      </c>
      <c r="X528" s="48" t="s">
        <v>2903</v>
      </c>
      <c r="Y528" s="44" t="s">
        <v>2904</v>
      </c>
    </row>
    <row r="529" spans="1:25" x14ac:dyDescent="0.25">
      <c r="A529" s="44" t="s">
        <v>2553</v>
      </c>
      <c r="B529" s="44" t="s">
        <v>228</v>
      </c>
      <c r="C529" s="44" t="s">
        <v>1523</v>
      </c>
      <c r="D529" s="44" t="s">
        <v>148</v>
      </c>
      <c r="E529" s="44" t="s">
        <v>128</v>
      </c>
      <c r="F529" s="44">
        <v>9</v>
      </c>
      <c r="G529" s="44" t="s">
        <v>111</v>
      </c>
      <c r="H529" s="44" t="s">
        <v>114</v>
      </c>
      <c r="I529" s="44" t="s">
        <v>656</v>
      </c>
      <c r="J529" s="44">
        <v>26</v>
      </c>
      <c r="K529" s="44">
        <v>0</v>
      </c>
      <c r="L529" s="45"/>
      <c r="M529" s="44">
        <v>10500</v>
      </c>
      <c r="N529" s="46">
        <f t="shared" si="16"/>
        <v>2.476190476190476E-3</v>
      </c>
      <c r="O529" s="47" t="str">
        <f t="shared" si="17"/>
        <v/>
      </c>
      <c r="P529" s="44">
        <v>78</v>
      </c>
      <c r="Q529" s="44">
        <v>5</v>
      </c>
      <c r="R529" s="44">
        <v>5</v>
      </c>
      <c r="S529" s="44" t="s">
        <v>1067</v>
      </c>
      <c r="T529" s="44" t="s">
        <v>1067</v>
      </c>
      <c r="U529" s="44" t="s">
        <v>2719</v>
      </c>
      <c r="V529" s="44"/>
      <c r="W529" s="44" t="s">
        <v>2905</v>
      </c>
      <c r="X529" s="48" t="s">
        <v>2906</v>
      </c>
      <c r="Y529" s="44" t="s">
        <v>2907</v>
      </c>
    </row>
    <row r="530" spans="1:25" x14ac:dyDescent="0.25">
      <c r="A530" s="44" t="s">
        <v>2553</v>
      </c>
      <c r="B530" s="44" t="s">
        <v>228</v>
      </c>
      <c r="C530" s="44" t="s">
        <v>1897</v>
      </c>
      <c r="D530" s="44" t="s">
        <v>147</v>
      </c>
      <c r="E530" s="44" t="s">
        <v>126</v>
      </c>
      <c r="F530" s="44">
        <v>7</v>
      </c>
      <c r="G530" s="44" t="s">
        <v>111</v>
      </c>
      <c r="H530" s="44" t="s">
        <v>121</v>
      </c>
      <c r="I530" s="44" t="s">
        <v>656</v>
      </c>
      <c r="J530" s="44">
        <v>11</v>
      </c>
      <c r="K530" s="44">
        <v>0</v>
      </c>
      <c r="L530" s="45"/>
      <c r="M530" s="44">
        <v>10500</v>
      </c>
      <c r="N530" s="46">
        <f t="shared" si="16"/>
        <v>1.0476190476190477E-3</v>
      </c>
      <c r="O530" s="47" t="str">
        <f t="shared" si="17"/>
        <v/>
      </c>
      <c r="P530" s="44">
        <v>127</v>
      </c>
      <c r="Q530" s="44">
        <v>5</v>
      </c>
      <c r="R530" s="44">
        <v>10</v>
      </c>
      <c r="S530" s="44" t="s">
        <v>1067</v>
      </c>
      <c r="T530" s="44" t="s">
        <v>1068</v>
      </c>
      <c r="U530" s="44" t="s">
        <v>2908</v>
      </c>
      <c r="V530" s="44"/>
      <c r="W530" s="44" t="s">
        <v>2909</v>
      </c>
      <c r="X530" s="48" t="s">
        <v>2910</v>
      </c>
      <c r="Y530" s="44" t="s">
        <v>2911</v>
      </c>
    </row>
    <row r="531" spans="1:25" x14ac:dyDescent="0.25">
      <c r="A531" s="44" t="s">
        <v>2553</v>
      </c>
      <c r="B531" s="44" t="s">
        <v>228</v>
      </c>
      <c r="C531" s="44" t="s">
        <v>2912</v>
      </c>
      <c r="D531" s="44" t="s">
        <v>147</v>
      </c>
      <c r="E531" s="44" t="s">
        <v>136</v>
      </c>
      <c r="F531" s="44">
        <v>14</v>
      </c>
      <c r="G531" s="44" t="s">
        <v>108</v>
      </c>
      <c r="H531" s="44" t="s">
        <v>119</v>
      </c>
      <c r="I531" s="44" t="s">
        <v>656</v>
      </c>
      <c r="J531" s="44">
        <v>17</v>
      </c>
      <c r="K531" s="44">
        <v>1</v>
      </c>
      <c r="L531" s="45">
        <v>1802</v>
      </c>
      <c r="M531" s="44">
        <v>10500</v>
      </c>
      <c r="N531" s="46">
        <f t="shared" si="16"/>
        <v>1.7142857142857142E-3</v>
      </c>
      <c r="O531" s="47">
        <f t="shared" si="17"/>
        <v>0.17161904761904762</v>
      </c>
      <c r="P531" s="44">
        <v>12</v>
      </c>
      <c r="Q531" s="44">
        <v>3</v>
      </c>
      <c r="R531" s="44">
        <v>1</v>
      </c>
      <c r="S531" s="44" t="s">
        <v>1068</v>
      </c>
      <c r="T531" s="44" t="s">
        <v>1068</v>
      </c>
      <c r="U531" s="44" t="s">
        <v>2747</v>
      </c>
      <c r="V531" s="44" t="s">
        <v>2913</v>
      </c>
      <c r="W531" s="44" t="s">
        <v>2914</v>
      </c>
      <c r="X531" s="48" t="s">
        <v>2915</v>
      </c>
      <c r="Y531" s="44" t="s">
        <v>2916</v>
      </c>
    </row>
    <row r="532" spans="1:25" x14ac:dyDescent="0.25">
      <c r="A532" s="44" t="s">
        <v>2553</v>
      </c>
      <c r="B532" s="44" t="s">
        <v>228</v>
      </c>
      <c r="C532" s="44" t="s">
        <v>1159</v>
      </c>
      <c r="D532" s="44" t="s">
        <v>147</v>
      </c>
      <c r="E532" s="44" t="s">
        <v>134</v>
      </c>
      <c r="F532" s="44">
        <v>9</v>
      </c>
      <c r="G532" s="44" t="s">
        <v>108</v>
      </c>
      <c r="H532" s="44" t="s">
        <v>121</v>
      </c>
      <c r="I532" s="44" t="s">
        <v>656</v>
      </c>
      <c r="J532" s="44">
        <v>45</v>
      </c>
      <c r="K532" s="44">
        <v>2</v>
      </c>
      <c r="L532" s="45">
        <v>11053</v>
      </c>
      <c r="M532" s="44">
        <v>10500</v>
      </c>
      <c r="N532" s="46">
        <f t="shared" si="16"/>
        <v>4.4761904761904765E-3</v>
      </c>
      <c r="O532" s="47">
        <f t="shared" si="17"/>
        <v>1.0526666666666666</v>
      </c>
      <c r="P532" s="44">
        <v>111</v>
      </c>
      <c r="Q532" s="44">
        <v>5</v>
      </c>
      <c r="R532" s="44">
        <v>2</v>
      </c>
      <c r="S532" s="44" t="s">
        <v>1067</v>
      </c>
      <c r="T532" s="44" t="s">
        <v>1067</v>
      </c>
      <c r="U532" s="44" t="s">
        <v>2692</v>
      </c>
      <c r="V532" s="44"/>
      <c r="W532" s="44" t="s">
        <v>2917</v>
      </c>
      <c r="X532" s="48" t="s">
        <v>2918</v>
      </c>
      <c r="Y532" s="44" t="s">
        <v>2919</v>
      </c>
    </row>
    <row r="533" spans="1:25" x14ac:dyDescent="0.25">
      <c r="A533" s="44" t="s">
        <v>2553</v>
      </c>
      <c r="B533" s="44" t="s">
        <v>228</v>
      </c>
      <c r="C533" s="44" t="s">
        <v>1527</v>
      </c>
      <c r="D533" s="44" t="s">
        <v>147</v>
      </c>
      <c r="E533" s="44" t="s">
        <v>132</v>
      </c>
      <c r="F533" s="44">
        <v>7</v>
      </c>
      <c r="G533" s="44" t="s">
        <v>111</v>
      </c>
      <c r="H533" s="44" t="s">
        <v>117</v>
      </c>
      <c r="I533" s="44" t="s">
        <v>656</v>
      </c>
      <c r="J533" s="44">
        <v>6</v>
      </c>
      <c r="K533" s="44">
        <v>0</v>
      </c>
      <c r="L533" s="45"/>
      <c r="M533" s="44">
        <v>10500</v>
      </c>
      <c r="N533" s="46">
        <f t="shared" si="16"/>
        <v>5.7142857142857147E-4</v>
      </c>
      <c r="O533" s="47" t="str">
        <f t="shared" si="17"/>
        <v/>
      </c>
      <c r="P533" s="44">
        <v>139</v>
      </c>
      <c r="Q533" s="44">
        <v>5</v>
      </c>
      <c r="R533" s="44">
        <v>10</v>
      </c>
      <c r="S533" s="44" t="s">
        <v>1067</v>
      </c>
      <c r="T533" s="44" t="s">
        <v>1068</v>
      </c>
      <c r="U533" s="44" t="s">
        <v>2591</v>
      </c>
      <c r="V533" s="44"/>
      <c r="W533" s="44" t="s">
        <v>2920</v>
      </c>
      <c r="X533" s="48" t="s">
        <v>2921</v>
      </c>
      <c r="Y533" s="44" t="s">
        <v>2922</v>
      </c>
    </row>
    <row r="534" spans="1:25" x14ac:dyDescent="0.25">
      <c r="A534" s="44" t="s">
        <v>2553</v>
      </c>
      <c r="B534" s="44" t="s">
        <v>228</v>
      </c>
      <c r="C534" s="44" t="s">
        <v>2281</v>
      </c>
      <c r="D534" s="44" t="s">
        <v>147</v>
      </c>
      <c r="E534" s="44" t="s">
        <v>130</v>
      </c>
      <c r="F534" s="44">
        <v>13</v>
      </c>
      <c r="G534" s="44" t="s">
        <v>108</v>
      </c>
      <c r="H534" s="44" t="s">
        <v>121</v>
      </c>
      <c r="I534" s="44" t="s">
        <v>650</v>
      </c>
      <c r="J534" s="44">
        <v>65</v>
      </c>
      <c r="K534" s="44">
        <v>2</v>
      </c>
      <c r="L534" s="45">
        <v>5714</v>
      </c>
      <c r="M534" s="44">
        <v>10500</v>
      </c>
      <c r="N534" s="46">
        <f t="shared" si="16"/>
        <v>6.3809523809523813E-3</v>
      </c>
      <c r="O534" s="47">
        <f t="shared" si="17"/>
        <v>0.54419047619047622</v>
      </c>
      <c r="P534" s="44">
        <v>35</v>
      </c>
      <c r="Q534" s="44">
        <v>5</v>
      </c>
      <c r="R534" s="44">
        <v>1</v>
      </c>
      <c r="S534" s="44" t="s">
        <v>1067</v>
      </c>
      <c r="T534" s="44" t="s">
        <v>1067</v>
      </c>
      <c r="U534" s="44" t="s">
        <v>2923</v>
      </c>
      <c r="V534" s="44"/>
      <c r="W534" s="44" t="s">
        <v>2924</v>
      </c>
      <c r="X534" s="48" t="s">
        <v>2925</v>
      </c>
      <c r="Y534" s="44" t="s">
        <v>2926</v>
      </c>
    </row>
    <row r="535" spans="1:25" x14ac:dyDescent="0.25">
      <c r="A535" s="44" t="s">
        <v>2553</v>
      </c>
      <c r="B535" s="44" t="s">
        <v>228</v>
      </c>
      <c r="C535" s="44" t="s">
        <v>2281</v>
      </c>
      <c r="D535" s="44" t="s">
        <v>147</v>
      </c>
      <c r="E535" s="44" t="s">
        <v>130</v>
      </c>
      <c r="F535" s="44">
        <v>8</v>
      </c>
      <c r="G535" s="44" t="s">
        <v>111</v>
      </c>
      <c r="H535" s="44" t="s">
        <v>542</v>
      </c>
      <c r="I535" s="44" t="s">
        <v>629</v>
      </c>
      <c r="J535" s="44">
        <v>110</v>
      </c>
      <c r="K535" s="44">
        <v>1</v>
      </c>
      <c r="L535" s="45"/>
      <c r="M535" s="44">
        <v>10500</v>
      </c>
      <c r="N535" s="46">
        <f t="shared" si="16"/>
        <v>1.0571428571428572E-2</v>
      </c>
      <c r="O535" s="47" t="str">
        <f t="shared" si="17"/>
        <v/>
      </c>
      <c r="P535" s="44">
        <v>51</v>
      </c>
      <c r="Q535" s="44">
        <v>5</v>
      </c>
      <c r="R535" s="44">
        <v>5</v>
      </c>
      <c r="S535" s="44" t="s">
        <v>1068</v>
      </c>
      <c r="T535" s="44" t="s">
        <v>1068</v>
      </c>
      <c r="U535" s="44"/>
      <c r="V535" s="44"/>
      <c r="W535" s="44" t="s">
        <v>2927</v>
      </c>
      <c r="X535" s="48" t="s">
        <v>2928</v>
      </c>
      <c r="Y535" s="44" t="s">
        <v>2929</v>
      </c>
    </row>
    <row r="536" spans="1:25" x14ac:dyDescent="0.25">
      <c r="A536" s="44" t="s">
        <v>2553</v>
      </c>
      <c r="B536" s="44" t="s">
        <v>228</v>
      </c>
      <c r="C536" s="44" t="s">
        <v>1531</v>
      </c>
      <c r="D536" s="44" t="s">
        <v>147</v>
      </c>
      <c r="E536" s="44" t="s">
        <v>128</v>
      </c>
      <c r="F536" s="44">
        <v>16</v>
      </c>
      <c r="G536" s="44" t="s">
        <v>108</v>
      </c>
      <c r="H536" s="44" t="s">
        <v>121</v>
      </c>
      <c r="I536" s="44" t="s">
        <v>656</v>
      </c>
      <c r="J536" s="44">
        <v>12</v>
      </c>
      <c r="K536" s="44">
        <v>0</v>
      </c>
      <c r="L536" s="45">
        <v>1155</v>
      </c>
      <c r="M536" s="44">
        <v>10500</v>
      </c>
      <c r="N536" s="46">
        <f t="shared" si="16"/>
        <v>1.1428571428571429E-3</v>
      </c>
      <c r="O536" s="47">
        <f t="shared" si="17"/>
        <v>0.11</v>
      </c>
      <c r="P536" s="44">
        <v>58</v>
      </c>
      <c r="Q536" s="44">
        <v>5</v>
      </c>
      <c r="R536" s="44">
        <v>2</v>
      </c>
      <c r="S536" s="44" t="s">
        <v>1068</v>
      </c>
      <c r="T536" s="44" t="s">
        <v>1068</v>
      </c>
      <c r="U536" s="44" t="s">
        <v>2930</v>
      </c>
      <c r="V536" s="44"/>
      <c r="W536" s="44" t="s">
        <v>2931</v>
      </c>
      <c r="X536" s="48" t="s">
        <v>2932</v>
      </c>
      <c r="Y536" s="44" t="s">
        <v>2933</v>
      </c>
    </row>
    <row r="537" spans="1:25" x14ac:dyDescent="0.25">
      <c r="A537" s="44" t="s">
        <v>2553</v>
      </c>
      <c r="B537" s="44" t="s">
        <v>228</v>
      </c>
      <c r="C537" s="44" t="s">
        <v>1531</v>
      </c>
      <c r="D537" s="44" t="s">
        <v>147</v>
      </c>
      <c r="E537" s="44" t="s">
        <v>128</v>
      </c>
      <c r="F537" s="44">
        <v>9</v>
      </c>
      <c r="G537" s="44" t="s">
        <v>108</v>
      </c>
      <c r="H537" s="44" t="s">
        <v>120</v>
      </c>
      <c r="I537" s="44" t="s">
        <v>629</v>
      </c>
      <c r="J537" s="44">
        <v>47</v>
      </c>
      <c r="K537" s="44">
        <v>3</v>
      </c>
      <c r="L537" s="45">
        <v>11413</v>
      </c>
      <c r="M537" s="44">
        <v>10500</v>
      </c>
      <c r="N537" s="46">
        <f t="shared" si="16"/>
        <v>4.7619047619047623E-3</v>
      </c>
      <c r="O537" s="47">
        <f t="shared" si="17"/>
        <v>1.0869523809523809</v>
      </c>
      <c r="P537" s="44">
        <v>94</v>
      </c>
      <c r="Q537" s="44">
        <v>5</v>
      </c>
      <c r="R537" s="44">
        <v>6</v>
      </c>
      <c r="S537" s="44" t="s">
        <v>1067</v>
      </c>
      <c r="T537" s="44" t="s">
        <v>1067</v>
      </c>
      <c r="U537" s="44" t="s">
        <v>2934</v>
      </c>
      <c r="V537" s="44"/>
      <c r="W537" s="44" t="s">
        <v>2935</v>
      </c>
      <c r="X537" s="48" t="s">
        <v>2936</v>
      </c>
      <c r="Y537" s="44" t="s">
        <v>2937</v>
      </c>
    </row>
  </sheetData>
  <autoFilter ref="A1:Y537" xr:uid="{00000000-0009-0000-0000-00000E000000}"/>
  <hyperlinks>
    <hyperlink ref="X2" r:id="rId1" xr:uid="{00000000-0004-0000-0E00-000000000000}"/>
    <hyperlink ref="X3" r:id="rId2" xr:uid="{00000000-0004-0000-0E00-000001000000}"/>
    <hyperlink ref="X4" r:id="rId3" xr:uid="{00000000-0004-0000-0E00-000002000000}"/>
    <hyperlink ref="X5" r:id="rId4" xr:uid="{00000000-0004-0000-0E00-000003000000}"/>
    <hyperlink ref="X6" r:id="rId5" xr:uid="{00000000-0004-0000-0E00-000004000000}"/>
    <hyperlink ref="X7" r:id="rId6" xr:uid="{00000000-0004-0000-0E00-000005000000}"/>
    <hyperlink ref="X8" r:id="rId7" xr:uid="{00000000-0004-0000-0E00-000006000000}"/>
    <hyperlink ref="X9" r:id="rId8" xr:uid="{00000000-0004-0000-0E00-000007000000}"/>
    <hyperlink ref="X10" r:id="rId9" xr:uid="{00000000-0004-0000-0E00-000008000000}"/>
    <hyperlink ref="X11" r:id="rId10" xr:uid="{00000000-0004-0000-0E00-000009000000}"/>
    <hyperlink ref="X12" r:id="rId11" xr:uid="{00000000-0004-0000-0E00-00000A000000}"/>
    <hyperlink ref="X13" r:id="rId12" xr:uid="{00000000-0004-0000-0E00-00000B000000}"/>
    <hyperlink ref="X14" r:id="rId13" xr:uid="{00000000-0004-0000-0E00-00000C000000}"/>
    <hyperlink ref="X15" r:id="rId14" xr:uid="{00000000-0004-0000-0E00-00000D000000}"/>
    <hyperlink ref="X16" r:id="rId15" xr:uid="{00000000-0004-0000-0E00-00000E000000}"/>
    <hyperlink ref="X17" r:id="rId16" xr:uid="{00000000-0004-0000-0E00-00000F000000}"/>
    <hyperlink ref="X18" r:id="rId17" xr:uid="{00000000-0004-0000-0E00-000010000000}"/>
    <hyperlink ref="X19" r:id="rId18" xr:uid="{00000000-0004-0000-0E00-000011000000}"/>
    <hyperlink ref="X20" r:id="rId19" xr:uid="{00000000-0004-0000-0E00-000012000000}"/>
    <hyperlink ref="X21" r:id="rId20" xr:uid="{00000000-0004-0000-0E00-000013000000}"/>
    <hyperlink ref="X22" r:id="rId21" xr:uid="{00000000-0004-0000-0E00-000014000000}"/>
    <hyperlink ref="X23" r:id="rId22" xr:uid="{00000000-0004-0000-0E00-000015000000}"/>
    <hyperlink ref="X24" r:id="rId23" xr:uid="{00000000-0004-0000-0E00-000016000000}"/>
    <hyperlink ref="X25" r:id="rId24" xr:uid="{00000000-0004-0000-0E00-000017000000}"/>
    <hyperlink ref="X26" r:id="rId25" xr:uid="{00000000-0004-0000-0E00-000018000000}"/>
    <hyperlink ref="X27" r:id="rId26" xr:uid="{00000000-0004-0000-0E00-000019000000}"/>
    <hyperlink ref="X28" r:id="rId27" xr:uid="{00000000-0004-0000-0E00-00001A000000}"/>
    <hyperlink ref="X29" r:id="rId28" xr:uid="{00000000-0004-0000-0E00-00001B000000}"/>
    <hyperlink ref="X30" r:id="rId29" xr:uid="{00000000-0004-0000-0E00-00001C000000}"/>
    <hyperlink ref="X31" r:id="rId30" xr:uid="{00000000-0004-0000-0E00-00001D000000}"/>
    <hyperlink ref="X32" r:id="rId31" xr:uid="{00000000-0004-0000-0E00-00001E000000}"/>
    <hyperlink ref="X33" r:id="rId32" xr:uid="{00000000-0004-0000-0E00-00001F000000}"/>
    <hyperlink ref="X34" r:id="rId33" xr:uid="{00000000-0004-0000-0E00-000020000000}"/>
    <hyperlink ref="X35" r:id="rId34" xr:uid="{00000000-0004-0000-0E00-000021000000}"/>
    <hyperlink ref="X36" r:id="rId35" xr:uid="{00000000-0004-0000-0E00-000022000000}"/>
    <hyperlink ref="X37" r:id="rId36" xr:uid="{00000000-0004-0000-0E00-000023000000}"/>
    <hyperlink ref="X38" r:id="rId37" xr:uid="{00000000-0004-0000-0E00-000024000000}"/>
    <hyperlink ref="X39" r:id="rId38" xr:uid="{00000000-0004-0000-0E00-000025000000}"/>
    <hyperlink ref="X40" r:id="rId39" xr:uid="{00000000-0004-0000-0E00-000026000000}"/>
    <hyperlink ref="X41" r:id="rId40" xr:uid="{00000000-0004-0000-0E00-000027000000}"/>
    <hyperlink ref="X42" r:id="rId41" xr:uid="{00000000-0004-0000-0E00-000028000000}"/>
    <hyperlink ref="X43" r:id="rId42" xr:uid="{00000000-0004-0000-0E00-000029000000}"/>
    <hyperlink ref="X44" r:id="rId43" xr:uid="{00000000-0004-0000-0E00-00002A000000}"/>
    <hyperlink ref="X45" r:id="rId44" xr:uid="{00000000-0004-0000-0E00-00002B000000}"/>
    <hyperlink ref="X46" r:id="rId45" xr:uid="{00000000-0004-0000-0E00-00002C000000}"/>
    <hyperlink ref="X47" r:id="rId46" xr:uid="{00000000-0004-0000-0E00-00002D000000}"/>
    <hyperlink ref="X48" r:id="rId47" xr:uid="{00000000-0004-0000-0E00-00002E000000}"/>
    <hyperlink ref="X49" r:id="rId48" xr:uid="{00000000-0004-0000-0E00-00002F000000}"/>
    <hyperlink ref="X50" r:id="rId49" xr:uid="{00000000-0004-0000-0E00-000030000000}"/>
    <hyperlink ref="X51" r:id="rId50" xr:uid="{00000000-0004-0000-0E00-000031000000}"/>
    <hyperlink ref="X52" r:id="rId51" xr:uid="{00000000-0004-0000-0E00-000032000000}"/>
    <hyperlink ref="X53" r:id="rId52" xr:uid="{00000000-0004-0000-0E00-000033000000}"/>
    <hyperlink ref="X54" r:id="rId53" xr:uid="{00000000-0004-0000-0E00-000034000000}"/>
    <hyperlink ref="X55" r:id="rId54" xr:uid="{00000000-0004-0000-0E00-000035000000}"/>
    <hyperlink ref="X56" r:id="rId55" xr:uid="{00000000-0004-0000-0E00-000036000000}"/>
    <hyperlink ref="X57" r:id="rId56" xr:uid="{00000000-0004-0000-0E00-000037000000}"/>
    <hyperlink ref="X58" r:id="rId57" xr:uid="{00000000-0004-0000-0E00-000038000000}"/>
    <hyperlink ref="X59" r:id="rId58" xr:uid="{00000000-0004-0000-0E00-000039000000}"/>
    <hyperlink ref="X60" r:id="rId59" xr:uid="{00000000-0004-0000-0E00-00003A000000}"/>
    <hyperlink ref="X61" r:id="rId60" xr:uid="{00000000-0004-0000-0E00-00003B000000}"/>
    <hyperlink ref="X62" r:id="rId61" xr:uid="{00000000-0004-0000-0E00-00003C000000}"/>
    <hyperlink ref="X63" r:id="rId62" xr:uid="{00000000-0004-0000-0E00-00003D000000}"/>
    <hyperlink ref="X64" r:id="rId63" xr:uid="{00000000-0004-0000-0E00-00003E000000}"/>
    <hyperlink ref="X65" r:id="rId64" xr:uid="{00000000-0004-0000-0E00-00003F000000}"/>
    <hyperlink ref="X66" r:id="rId65" xr:uid="{00000000-0004-0000-0E00-000040000000}"/>
    <hyperlink ref="X67" r:id="rId66" xr:uid="{00000000-0004-0000-0E00-000041000000}"/>
    <hyperlink ref="X68" r:id="rId67" xr:uid="{00000000-0004-0000-0E00-000042000000}"/>
    <hyperlink ref="X69" r:id="rId68" xr:uid="{00000000-0004-0000-0E00-000043000000}"/>
    <hyperlink ref="X70" r:id="rId69" xr:uid="{00000000-0004-0000-0E00-000044000000}"/>
    <hyperlink ref="X71" r:id="rId70" xr:uid="{00000000-0004-0000-0E00-000045000000}"/>
    <hyperlink ref="X72" r:id="rId71" xr:uid="{00000000-0004-0000-0E00-000046000000}"/>
    <hyperlink ref="X73" r:id="rId72" xr:uid="{00000000-0004-0000-0E00-000047000000}"/>
    <hyperlink ref="X74" r:id="rId73" xr:uid="{00000000-0004-0000-0E00-000048000000}"/>
    <hyperlink ref="X75" r:id="rId74" xr:uid="{00000000-0004-0000-0E00-000049000000}"/>
    <hyperlink ref="X76" r:id="rId75" xr:uid="{00000000-0004-0000-0E00-00004A000000}"/>
    <hyperlink ref="X77" r:id="rId76" xr:uid="{00000000-0004-0000-0E00-00004B000000}"/>
    <hyperlink ref="X78" r:id="rId77" xr:uid="{00000000-0004-0000-0E00-00004C000000}"/>
    <hyperlink ref="X79" r:id="rId78" xr:uid="{00000000-0004-0000-0E00-00004D000000}"/>
    <hyperlink ref="X80" r:id="rId79" xr:uid="{00000000-0004-0000-0E00-00004E000000}"/>
    <hyperlink ref="X81" r:id="rId80" xr:uid="{00000000-0004-0000-0E00-00004F000000}"/>
    <hyperlink ref="X82" r:id="rId81" xr:uid="{00000000-0004-0000-0E00-000050000000}"/>
    <hyperlink ref="X83" r:id="rId82" xr:uid="{00000000-0004-0000-0E00-000051000000}"/>
    <hyperlink ref="X84" r:id="rId83" xr:uid="{00000000-0004-0000-0E00-000052000000}"/>
    <hyperlink ref="X85" r:id="rId84" xr:uid="{00000000-0004-0000-0E00-000053000000}"/>
    <hyperlink ref="X86" r:id="rId85" xr:uid="{00000000-0004-0000-0E00-000054000000}"/>
    <hyperlink ref="X87" r:id="rId86" xr:uid="{00000000-0004-0000-0E00-000055000000}"/>
    <hyperlink ref="X88" r:id="rId87" xr:uid="{00000000-0004-0000-0E00-000056000000}"/>
    <hyperlink ref="X89" r:id="rId88" xr:uid="{00000000-0004-0000-0E00-000057000000}"/>
    <hyperlink ref="X90" r:id="rId89" xr:uid="{00000000-0004-0000-0E00-000058000000}"/>
    <hyperlink ref="X91" r:id="rId90" xr:uid="{00000000-0004-0000-0E00-000059000000}"/>
    <hyperlink ref="X92" r:id="rId91" xr:uid="{00000000-0004-0000-0E00-00005A000000}"/>
    <hyperlink ref="X93" r:id="rId92" xr:uid="{00000000-0004-0000-0E00-00005B000000}"/>
    <hyperlink ref="X94" r:id="rId93" xr:uid="{00000000-0004-0000-0E00-00005C000000}"/>
    <hyperlink ref="X95" r:id="rId94" xr:uid="{00000000-0004-0000-0E00-00005D000000}"/>
    <hyperlink ref="X96" r:id="rId95" xr:uid="{00000000-0004-0000-0E00-00005E000000}"/>
    <hyperlink ref="X97" r:id="rId96" xr:uid="{00000000-0004-0000-0E00-00005F000000}"/>
    <hyperlink ref="X98" r:id="rId97" xr:uid="{00000000-0004-0000-0E00-000060000000}"/>
    <hyperlink ref="X99" r:id="rId98" xr:uid="{00000000-0004-0000-0E00-000061000000}"/>
    <hyperlink ref="X100" r:id="rId99" xr:uid="{00000000-0004-0000-0E00-000062000000}"/>
    <hyperlink ref="X101" r:id="rId100" xr:uid="{00000000-0004-0000-0E00-000063000000}"/>
    <hyperlink ref="X102" r:id="rId101" xr:uid="{00000000-0004-0000-0E00-000064000000}"/>
    <hyperlink ref="X103" r:id="rId102" xr:uid="{00000000-0004-0000-0E00-000065000000}"/>
    <hyperlink ref="X104" r:id="rId103" xr:uid="{00000000-0004-0000-0E00-000066000000}"/>
    <hyperlink ref="X105" r:id="rId104" xr:uid="{00000000-0004-0000-0E00-000067000000}"/>
    <hyperlink ref="X106" r:id="rId105" xr:uid="{00000000-0004-0000-0E00-000068000000}"/>
    <hyperlink ref="X107" r:id="rId106" xr:uid="{00000000-0004-0000-0E00-000069000000}"/>
    <hyperlink ref="X108" r:id="rId107" xr:uid="{00000000-0004-0000-0E00-00006A000000}"/>
    <hyperlink ref="X109" r:id="rId108" xr:uid="{00000000-0004-0000-0E00-00006B000000}"/>
    <hyperlink ref="X110" r:id="rId109" xr:uid="{00000000-0004-0000-0E00-00006C000000}"/>
    <hyperlink ref="X111" r:id="rId110" xr:uid="{00000000-0004-0000-0E00-00006D000000}"/>
    <hyperlink ref="X112" r:id="rId111" xr:uid="{00000000-0004-0000-0E00-00006E000000}"/>
    <hyperlink ref="X113" r:id="rId112" xr:uid="{00000000-0004-0000-0E00-00006F000000}"/>
    <hyperlink ref="X114" r:id="rId113" xr:uid="{00000000-0004-0000-0E00-000070000000}"/>
    <hyperlink ref="X115" r:id="rId114" xr:uid="{00000000-0004-0000-0E00-000071000000}"/>
    <hyperlink ref="X116" r:id="rId115" xr:uid="{00000000-0004-0000-0E00-000072000000}"/>
    <hyperlink ref="X117" r:id="rId116" xr:uid="{00000000-0004-0000-0E00-000073000000}"/>
    <hyperlink ref="X118" r:id="rId117" xr:uid="{00000000-0004-0000-0E00-000074000000}"/>
    <hyperlink ref="X119" r:id="rId118" xr:uid="{00000000-0004-0000-0E00-000075000000}"/>
    <hyperlink ref="X120" r:id="rId119" xr:uid="{00000000-0004-0000-0E00-000076000000}"/>
    <hyperlink ref="X121" r:id="rId120" xr:uid="{00000000-0004-0000-0E00-000077000000}"/>
    <hyperlink ref="X122" r:id="rId121" xr:uid="{00000000-0004-0000-0E00-000078000000}"/>
    <hyperlink ref="X123" r:id="rId122" xr:uid="{00000000-0004-0000-0E00-000079000000}"/>
    <hyperlink ref="X124" r:id="rId123" xr:uid="{00000000-0004-0000-0E00-00007A000000}"/>
    <hyperlink ref="X125" r:id="rId124" xr:uid="{00000000-0004-0000-0E00-00007B000000}"/>
    <hyperlink ref="X126" r:id="rId125" xr:uid="{00000000-0004-0000-0E00-00007C000000}"/>
    <hyperlink ref="X127" r:id="rId126" xr:uid="{00000000-0004-0000-0E00-00007D000000}"/>
    <hyperlink ref="X128" r:id="rId127" xr:uid="{00000000-0004-0000-0E00-00007E000000}"/>
    <hyperlink ref="X129" r:id="rId128" xr:uid="{00000000-0004-0000-0E00-00007F000000}"/>
    <hyperlink ref="X130" r:id="rId129" xr:uid="{00000000-0004-0000-0E00-000080000000}"/>
    <hyperlink ref="X131" r:id="rId130" xr:uid="{00000000-0004-0000-0E00-000081000000}"/>
    <hyperlink ref="X132" r:id="rId131" xr:uid="{00000000-0004-0000-0E00-000082000000}"/>
    <hyperlink ref="X133" r:id="rId132" xr:uid="{00000000-0004-0000-0E00-000083000000}"/>
    <hyperlink ref="X134" r:id="rId133" xr:uid="{00000000-0004-0000-0E00-000084000000}"/>
    <hyperlink ref="X135" r:id="rId134" xr:uid="{00000000-0004-0000-0E00-000085000000}"/>
    <hyperlink ref="X136" r:id="rId135" xr:uid="{00000000-0004-0000-0E00-000086000000}"/>
    <hyperlink ref="X137" r:id="rId136" xr:uid="{00000000-0004-0000-0E00-000087000000}"/>
    <hyperlink ref="X138" r:id="rId137" xr:uid="{00000000-0004-0000-0E00-000088000000}"/>
    <hyperlink ref="X139" r:id="rId138" xr:uid="{00000000-0004-0000-0E00-000089000000}"/>
    <hyperlink ref="X140" r:id="rId139" xr:uid="{00000000-0004-0000-0E00-00008A000000}"/>
    <hyperlink ref="X141" r:id="rId140" xr:uid="{00000000-0004-0000-0E00-00008B000000}"/>
    <hyperlink ref="X142" r:id="rId141" xr:uid="{00000000-0004-0000-0E00-00008C000000}"/>
    <hyperlink ref="X143" r:id="rId142" xr:uid="{00000000-0004-0000-0E00-00008D000000}"/>
    <hyperlink ref="X144" r:id="rId143" xr:uid="{00000000-0004-0000-0E00-00008E000000}"/>
    <hyperlink ref="X145" r:id="rId144" xr:uid="{00000000-0004-0000-0E00-00008F000000}"/>
    <hyperlink ref="X146" r:id="rId145" xr:uid="{00000000-0004-0000-0E00-000090000000}"/>
    <hyperlink ref="X147" r:id="rId146" xr:uid="{00000000-0004-0000-0E00-000091000000}"/>
    <hyperlink ref="X148" r:id="rId147" xr:uid="{00000000-0004-0000-0E00-000092000000}"/>
    <hyperlink ref="X149" r:id="rId148" xr:uid="{00000000-0004-0000-0E00-000093000000}"/>
    <hyperlink ref="X150" r:id="rId149" xr:uid="{00000000-0004-0000-0E00-000094000000}"/>
    <hyperlink ref="X151" r:id="rId150" xr:uid="{00000000-0004-0000-0E00-000095000000}"/>
    <hyperlink ref="X152" r:id="rId151" xr:uid="{00000000-0004-0000-0E00-000096000000}"/>
    <hyperlink ref="X153" r:id="rId152" xr:uid="{00000000-0004-0000-0E00-000097000000}"/>
    <hyperlink ref="X154" r:id="rId153" xr:uid="{00000000-0004-0000-0E00-000098000000}"/>
    <hyperlink ref="X155" r:id="rId154" xr:uid="{00000000-0004-0000-0E00-000099000000}"/>
    <hyperlink ref="X156" r:id="rId155" xr:uid="{00000000-0004-0000-0E00-00009A000000}"/>
    <hyperlink ref="X157" r:id="rId156" xr:uid="{00000000-0004-0000-0E00-00009B000000}"/>
    <hyperlink ref="X158" r:id="rId157" xr:uid="{00000000-0004-0000-0E00-00009C000000}"/>
    <hyperlink ref="X159" r:id="rId158" xr:uid="{00000000-0004-0000-0E00-00009D000000}"/>
    <hyperlink ref="X160" r:id="rId159" xr:uid="{00000000-0004-0000-0E00-00009E000000}"/>
    <hyperlink ref="X161" r:id="rId160" xr:uid="{00000000-0004-0000-0E00-00009F000000}"/>
    <hyperlink ref="X162" r:id="rId161" xr:uid="{00000000-0004-0000-0E00-0000A0000000}"/>
    <hyperlink ref="X163" r:id="rId162" xr:uid="{00000000-0004-0000-0E00-0000A1000000}"/>
    <hyperlink ref="X164" r:id="rId163" xr:uid="{00000000-0004-0000-0E00-0000A2000000}"/>
    <hyperlink ref="X165" r:id="rId164" xr:uid="{00000000-0004-0000-0E00-0000A3000000}"/>
    <hyperlink ref="X166" r:id="rId165" xr:uid="{00000000-0004-0000-0E00-0000A4000000}"/>
    <hyperlink ref="X167" r:id="rId166" xr:uid="{00000000-0004-0000-0E00-0000A5000000}"/>
    <hyperlink ref="X168" r:id="rId167" xr:uid="{00000000-0004-0000-0E00-0000A6000000}"/>
    <hyperlink ref="X169" r:id="rId168" xr:uid="{00000000-0004-0000-0E00-0000A7000000}"/>
    <hyperlink ref="X170" r:id="rId169" xr:uid="{00000000-0004-0000-0E00-0000A8000000}"/>
    <hyperlink ref="X171" r:id="rId170" xr:uid="{00000000-0004-0000-0E00-0000A9000000}"/>
    <hyperlink ref="X172" r:id="rId171" xr:uid="{00000000-0004-0000-0E00-0000AA000000}"/>
    <hyperlink ref="X173" r:id="rId172" xr:uid="{00000000-0004-0000-0E00-0000AB000000}"/>
    <hyperlink ref="X174" r:id="rId173" xr:uid="{00000000-0004-0000-0E00-0000AC000000}"/>
    <hyperlink ref="X175" r:id="rId174" xr:uid="{00000000-0004-0000-0E00-0000AD000000}"/>
    <hyperlink ref="X176" r:id="rId175" xr:uid="{00000000-0004-0000-0E00-0000AE000000}"/>
    <hyperlink ref="X177" r:id="rId176" xr:uid="{00000000-0004-0000-0E00-0000AF000000}"/>
    <hyperlink ref="X178" r:id="rId177" xr:uid="{00000000-0004-0000-0E00-0000B0000000}"/>
    <hyperlink ref="X179" r:id="rId178" xr:uid="{00000000-0004-0000-0E00-0000B1000000}"/>
    <hyperlink ref="X180" r:id="rId179" xr:uid="{00000000-0004-0000-0E00-0000B2000000}"/>
    <hyperlink ref="X181" r:id="rId180" xr:uid="{00000000-0004-0000-0E00-0000B3000000}"/>
    <hyperlink ref="X182" r:id="rId181" xr:uid="{00000000-0004-0000-0E00-0000B4000000}"/>
    <hyperlink ref="X183" r:id="rId182" xr:uid="{00000000-0004-0000-0E00-0000B5000000}"/>
    <hyperlink ref="X184" r:id="rId183" xr:uid="{00000000-0004-0000-0E00-0000B6000000}"/>
    <hyperlink ref="X185" r:id="rId184" xr:uid="{00000000-0004-0000-0E00-0000B7000000}"/>
    <hyperlink ref="X186" r:id="rId185" xr:uid="{00000000-0004-0000-0E00-0000B8000000}"/>
    <hyperlink ref="X187" r:id="rId186" xr:uid="{00000000-0004-0000-0E00-0000B9000000}"/>
    <hyperlink ref="X188" r:id="rId187" xr:uid="{00000000-0004-0000-0E00-0000BA000000}"/>
    <hyperlink ref="X189" r:id="rId188" xr:uid="{00000000-0004-0000-0E00-0000BB000000}"/>
    <hyperlink ref="X190" r:id="rId189" xr:uid="{00000000-0004-0000-0E00-0000BC000000}"/>
    <hyperlink ref="X191" r:id="rId190" xr:uid="{00000000-0004-0000-0E00-0000BD000000}"/>
    <hyperlink ref="X192" r:id="rId191" xr:uid="{00000000-0004-0000-0E00-0000BE000000}"/>
    <hyperlink ref="X193" r:id="rId192" xr:uid="{00000000-0004-0000-0E00-0000BF000000}"/>
    <hyperlink ref="X194" r:id="rId193" xr:uid="{00000000-0004-0000-0E00-0000C0000000}"/>
    <hyperlink ref="X195" r:id="rId194" xr:uid="{00000000-0004-0000-0E00-0000C1000000}"/>
    <hyperlink ref="X196" r:id="rId195" xr:uid="{00000000-0004-0000-0E00-0000C2000000}"/>
    <hyperlink ref="X197" r:id="rId196" xr:uid="{00000000-0004-0000-0E00-0000C3000000}"/>
    <hyperlink ref="X198" r:id="rId197" xr:uid="{00000000-0004-0000-0E00-0000C4000000}"/>
    <hyperlink ref="X199" r:id="rId198" xr:uid="{00000000-0004-0000-0E00-0000C5000000}"/>
    <hyperlink ref="X200" r:id="rId199" xr:uid="{00000000-0004-0000-0E00-0000C6000000}"/>
    <hyperlink ref="X201" r:id="rId200" xr:uid="{00000000-0004-0000-0E00-0000C7000000}"/>
    <hyperlink ref="X202" r:id="rId201" xr:uid="{00000000-0004-0000-0E00-0000C8000000}"/>
    <hyperlink ref="X203" r:id="rId202" xr:uid="{00000000-0004-0000-0E00-0000C9000000}"/>
    <hyperlink ref="X204" r:id="rId203" xr:uid="{00000000-0004-0000-0E00-0000CA000000}"/>
    <hyperlink ref="X205" r:id="rId204" xr:uid="{00000000-0004-0000-0E00-0000CB000000}"/>
    <hyperlink ref="X206" r:id="rId205" xr:uid="{00000000-0004-0000-0E00-0000CC000000}"/>
    <hyperlink ref="X207" r:id="rId206" xr:uid="{00000000-0004-0000-0E00-0000CD000000}"/>
    <hyperlink ref="X208" r:id="rId207" xr:uid="{00000000-0004-0000-0E00-0000CE000000}"/>
    <hyperlink ref="X209" r:id="rId208" xr:uid="{00000000-0004-0000-0E00-0000CF000000}"/>
    <hyperlink ref="X210" r:id="rId209" xr:uid="{00000000-0004-0000-0E00-0000D0000000}"/>
    <hyperlink ref="X211" r:id="rId210" xr:uid="{00000000-0004-0000-0E00-0000D1000000}"/>
    <hyperlink ref="X212" r:id="rId211" xr:uid="{00000000-0004-0000-0E00-0000D2000000}"/>
    <hyperlink ref="X213" r:id="rId212" xr:uid="{00000000-0004-0000-0E00-0000D3000000}"/>
    <hyperlink ref="X214" r:id="rId213" xr:uid="{00000000-0004-0000-0E00-0000D4000000}"/>
    <hyperlink ref="X215" r:id="rId214" xr:uid="{00000000-0004-0000-0E00-0000D5000000}"/>
    <hyperlink ref="X216" r:id="rId215" xr:uid="{00000000-0004-0000-0E00-0000D6000000}"/>
    <hyperlink ref="X217" r:id="rId216" xr:uid="{00000000-0004-0000-0E00-0000D7000000}"/>
    <hyperlink ref="X218" r:id="rId217" xr:uid="{00000000-0004-0000-0E00-0000D8000000}"/>
    <hyperlink ref="X219" r:id="rId218" xr:uid="{00000000-0004-0000-0E00-0000D9000000}"/>
    <hyperlink ref="X220" r:id="rId219" xr:uid="{00000000-0004-0000-0E00-0000DA000000}"/>
    <hyperlink ref="X221" r:id="rId220" xr:uid="{00000000-0004-0000-0E00-0000DB000000}"/>
    <hyperlink ref="X222" r:id="rId221" xr:uid="{00000000-0004-0000-0E00-0000DC000000}"/>
    <hyperlink ref="X223" r:id="rId222" xr:uid="{00000000-0004-0000-0E00-0000DD000000}"/>
    <hyperlink ref="X224" r:id="rId223" xr:uid="{00000000-0004-0000-0E00-0000DE000000}"/>
    <hyperlink ref="X225" r:id="rId224" xr:uid="{00000000-0004-0000-0E00-0000DF000000}"/>
    <hyperlink ref="X226" r:id="rId225" xr:uid="{00000000-0004-0000-0E00-0000E0000000}"/>
    <hyperlink ref="X227" r:id="rId226" xr:uid="{00000000-0004-0000-0E00-0000E1000000}"/>
    <hyperlink ref="X228" r:id="rId227" xr:uid="{00000000-0004-0000-0E00-0000E2000000}"/>
    <hyperlink ref="X229" r:id="rId228" xr:uid="{00000000-0004-0000-0E00-0000E3000000}"/>
    <hyperlink ref="X230" r:id="rId229" xr:uid="{00000000-0004-0000-0E00-0000E4000000}"/>
    <hyperlink ref="X231" r:id="rId230" xr:uid="{00000000-0004-0000-0E00-0000E5000000}"/>
    <hyperlink ref="X232" r:id="rId231" xr:uid="{00000000-0004-0000-0E00-0000E6000000}"/>
    <hyperlink ref="X233" r:id="rId232" xr:uid="{00000000-0004-0000-0E00-0000E7000000}"/>
    <hyperlink ref="X234" r:id="rId233" xr:uid="{00000000-0004-0000-0E00-0000E8000000}"/>
    <hyperlink ref="X235" r:id="rId234" xr:uid="{00000000-0004-0000-0E00-0000E9000000}"/>
    <hyperlink ref="X236" r:id="rId235" xr:uid="{00000000-0004-0000-0E00-0000EA000000}"/>
    <hyperlink ref="X237" r:id="rId236" xr:uid="{00000000-0004-0000-0E00-0000EB000000}"/>
    <hyperlink ref="X238" r:id="rId237" xr:uid="{00000000-0004-0000-0E00-0000EC000000}"/>
    <hyperlink ref="X239" r:id="rId238" xr:uid="{00000000-0004-0000-0E00-0000ED000000}"/>
    <hyperlink ref="X240" r:id="rId239" xr:uid="{00000000-0004-0000-0E00-0000EE000000}"/>
    <hyperlink ref="X241" r:id="rId240" xr:uid="{00000000-0004-0000-0E00-0000EF000000}"/>
    <hyperlink ref="X242" r:id="rId241" xr:uid="{00000000-0004-0000-0E00-0000F0000000}"/>
    <hyperlink ref="X243" r:id="rId242" xr:uid="{00000000-0004-0000-0E00-0000F1000000}"/>
    <hyperlink ref="X244" r:id="rId243" xr:uid="{00000000-0004-0000-0E00-0000F2000000}"/>
    <hyperlink ref="X245" r:id="rId244" xr:uid="{00000000-0004-0000-0E00-0000F3000000}"/>
    <hyperlink ref="X246" r:id="rId245" xr:uid="{00000000-0004-0000-0E00-0000F4000000}"/>
    <hyperlink ref="X247" r:id="rId246" xr:uid="{00000000-0004-0000-0E00-0000F5000000}"/>
    <hyperlink ref="X248" r:id="rId247" xr:uid="{00000000-0004-0000-0E00-0000F6000000}"/>
    <hyperlink ref="X249" r:id="rId248" xr:uid="{00000000-0004-0000-0E00-0000F7000000}"/>
    <hyperlink ref="X250" r:id="rId249" xr:uid="{00000000-0004-0000-0E00-0000F8000000}"/>
    <hyperlink ref="X251" r:id="rId250" xr:uid="{00000000-0004-0000-0E00-0000F9000000}"/>
    <hyperlink ref="X252" r:id="rId251" xr:uid="{00000000-0004-0000-0E00-0000FA000000}"/>
    <hyperlink ref="X253" r:id="rId252" xr:uid="{00000000-0004-0000-0E00-0000FB000000}"/>
    <hyperlink ref="X254" r:id="rId253" xr:uid="{00000000-0004-0000-0E00-0000FC000000}"/>
    <hyperlink ref="X255" r:id="rId254" xr:uid="{00000000-0004-0000-0E00-0000FD000000}"/>
    <hyperlink ref="X256" r:id="rId255" xr:uid="{00000000-0004-0000-0E00-0000FE000000}"/>
    <hyperlink ref="X257" r:id="rId256" xr:uid="{00000000-0004-0000-0E00-0000FF000000}"/>
    <hyperlink ref="X258" r:id="rId257" xr:uid="{00000000-0004-0000-0E00-000000010000}"/>
    <hyperlink ref="X259" r:id="rId258" xr:uid="{00000000-0004-0000-0E00-000001010000}"/>
    <hyperlink ref="X260" r:id="rId259" xr:uid="{00000000-0004-0000-0E00-000002010000}"/>
    <hyperlink ref="X261" r:id="rId260" xr:uid="{00000000-0004-0000-0E00-000003010000}"/>
    <hyperlink ref="X262" r:id="rId261" xr:uid="{00000000-0004-0000-0E00-000004010000}"/>
    <hyperlink ref="X263" r:id="rId262" xr:uid="{00000000-0004-0000-0E00-000005010000}"/>
    <hyperlink ref="X264" r:id="rId263" xr:uid="{00000000-0004-0000-0E00-000006010000}"/>
    <hyperlink ref="X265" r:id="rId264" xr:uid="{00000000-0004-0000-0E00-000007010000}"/>
    <hyperlink ref="X266" r:id="rId265" xr:uid="{00000000-0004-0000-0E00-000008010000}"/>
    <hyperlink ref="X267" r:id="rId266" xr:uid="{00000000-0004-0000-0E00-000009010000}"/>
    <hyperlink ref="X268" r:id="rId267" xr:uid="{00000000-0004-0000-0E00-00000A010000}"/>
    <hyperlink ref="X269" r:id="rId268" xr:uid="{00000000-0004-0000-0E00-00000B010000}"/>
    <hyperlink ref="X270" r:id="rId269" xr:uid="{00000000-0004-0000-0E00-00000C010000}"/>
    <hyperlink ref="X271" r:id="rId270" xr:uid="{00000000-0004-0000-0E00-00000D010000}"/>
    <hyperlink ref="X272" r:id="rId271" xr:uid="{00000000-0004-0000-0E00-00000E010000}"/>
    <hyperlink ref="X273" r:id="rId272" xr:uid="{00000000-0004-0000-0E00-00000F010000}"/>
    <hyperlink ref="X274" r:id="rId273" xr:uid="{00000000-0004-0000-0E00-000010010000}"/>
    <hyperlink ref="X275" r:id="rId274" xr:uid="{00000000-0004-0000-0E00-000011010000}"/>
    <hyperlink ref="X276" r:id="rId275" xr:uid="{00000000-0004-0000-0E00-000012010000}"/>
    <hyperlink ref="X277" r:id="rId276" xr:uid="{00000000-0004-0000-0E00-000013010000}"/>
    <hyperlink ref="X278" r:id="rId277" xr:uid="{00000000-0004-0000-0E00-000014010000}"/>
    <hyperlink ref="X279" r:id="rId278" xr:uid="{00000000-0004-0000-0E00-000015010000}"/>
    <hyperlink ref="X280" r:id="rId279" xr:uid="{00000000-0004-0000-0E00-000016010000}"/>
    <hyperlink ref="X281" r:id="rId280" xr:uid="{00000000-0004-0000-0E00-000017010000}"/>
    <hyperlink ref="X282" r:id="rId281" xr:uid="{00000000-0004-0000-0E00-000018010000}"/>
    <hyperlink ref="X283" r:id="rId282" xr:uid="{00000000-0004-0000-0E00-000019010000}"/>
    <hyperlink ref="X284" r:id="rId283" xr:uid="{00000000-0004-0000-0E00-00001A010000}"/>
    <hyperlink ref="X285" r:id="rId284" xr:uid="{00000000-0004-0000-0E00-00001B010000}"/>
    <hyperlink ref="X286" r:id="rId285" xr:uid="{00000000-0004-0000-0E00-00001C010000}"/>
    <hyperlink ref="X287" r:id="rId286" xr:uid="{00000000-0004-0000-0E00-00001D010000}"/>
    <hyperlink ref="X288" r:id="rId287" xr:uid="{00000000-0004-0000-0E00-00001E010000}"/>
    <hyperlink ref="X289" r:id="rId288" xr:uid="{00000000-0004-0000-0E00-00001F010000}"/>
    <hyperlink ref="X290" r:id="rId289" xr:uid="{00000000-0004-0000-0E00-000020010000}"/>
    <hyperlink ref="X291" r:id="rId290" xr:uid="{00000000-0004-0000-0E00-000021010000}"/>
    <hyperlink ref="X292" r:id="rId291" xr:uid="{00000000-0004-0000-0E00-000022010000}"/>
    <hyperlink ref="X293" r:id="rId292" xr:uid="{00000000-0004-0000-0E00-000023010000}"/>
    <hyperlink ref="X294" r:id="rId293" xr:uid="{00000000-0004-0000-0E00-000024010000}"/>
    <hyperlink ref="X295" r:id="rId294" xr:uid="{00000000-0004-0000-0E00-000025010000}"/>
    <hyperlink ref="X296" r:id="rId295" xr:uid="{00000000-0004-0000-0E00-000026010000}"/>
    <hyperlink ref="X297" r:id="rId296" xr:uid="{00000000-0004-0000-0E00-000027010000}"/>
    <hyperlink ref="X298" r:id="rId297" xr:uid="{00000000-0004-0000-0E00-000028010000}"/>
    <hyperlink ref="X299" r:id="rId298" xr:uid="{00000000-0004-0000-0E00-000029010000}"/>
    <hyperlink ref="X300" r:id="rId299" xr:uid="{00000000-0004-0000-0E00-00002A010000}"/>
    <hyperlink ref="X301" r:id="rId300" xr:uid="{00000000-0004-0000-0E00-00002B010000}"/>
    <hyperlink ref="X302" r:id="rId301" xr:uid="{00000000-0004-0000-0E00-00002C010000}"/>
    <hyperlink ref="X303" r:id="rId302" xr:uid="{00000000-0004-0000-0E00-00002D010000}"/>
    <hyperlink ref="X304" r:id="rId303" xr:uid="{00000000-0004-0000-0E00-00002E010000}"/>
    <hyperlink ref="X305" r:id="rId304" xr:uid="{00000000-0004-0000-0E00-00002F010000}"/>
    <hyperlink ref="X306" r:id="rId305" xr:uid="{00000000-0004-0000-0E00-000030010000}"/>
    <hyperlink ref="X307" r:id="rId306" xr:uid="{00000000-0004-0000-0E00-000031010000}"/>
    <hyperlink ref="X308" r:id="rId307" xr:uid="{00000000-0004-0000-0E00-000032010000}"/>
    <hyperlink ref="X309" r:id="rId308" xr:uid="{00000000-0004-0000-0E00-000033010000}"/>
    <hyperlink ref="X310" r:id="rId309" xr:uid="{00000000-0004-0000-0E00-000034010000}"/>
    <hyperlink ref="X311" r:id="rId310" xr:uid="{00000000-0004-0000-0E00-000035010000}"/>
    <hyperlink ref="X312" r:id="rId311" xr:uid="{00000000-0004-0000-0E00-000036010000}"/>
    <hyperlink ref="X313" r:id="rId312" xr:uid="{00000000-0004-0000-0E00-000037010000}"/>
    <hyperlink ref="X314" r:id="rId313" xr:uid="{00000000-0004-0000-0E00-000038010000}"/>
    <hyperlink ref="X315" r:id="rId314" xr:uid="{00000000-0004-0000-0E00-000039010000}"/>
    <hyperlink ref="X316" r:id="rId315" xr:uid="{00000000-0004-0000-0E00-00003A010000}"/>
    <hyperlink ref="X317" r:id="rId316" xr:uid="{00000000-0004-0000-0E00-00003B010000}"/>
    <hyperlink ref="X318" r:id="rId317" xr:uid="{00000000-0004-0000-0E00-00003C010000}"/>
    <hyperlink ref="X319" r:id="rId318" xr:uid="{00000000-0004-0000-0E00-00003D010000}"/>
    <hyperlink ref="X320" r:id="rId319" xr:uid="{00000000-0004-0000-0E00-00003E010000}"/>
    <hyperlink ref="X321" r:id="rId320" xr:uid="{00000000-0004-0000-0E00-00003F010000}"/>
    <hyperlink ref="X322" r:id="rId321" xr:uid="{00000000-0004-0000-0E00-000040010000}"/>
    <hyperlink ref="X323" r:id="rId322" xr:uid="{00000000-0004-0000-0E00-000041010000}"/>
    <hyperlink ref="X324" r:id="rId323" xr:uid="{00000000-0004-0000-0E00-000042010000}"/>
    <hyperlink ref="X325" r:id="rId324" xr:uid="{00000000-0004-0000-0E00-000043010000}"/>
    <hyperlink ref="X326" r:id="rId325" xr:uid="{00000000-0004-0000-0E00-000044010000}"/>
    <hyperlink ref="X327" r:id="rId326" xr:uid="{00000000-0004-0000-0E00-000045010000}"/>
    <hyperlink ref="X328" r:id="rId327" xr:uid="{00000000-0004-0000-0E00-000046010000}"/>
    <hyperlink ref="X329" r:id="rId328" xr:uid="{00000000-0004-0000-0E00-000047010000}"/>
    <hyperlink ref="X330" r:id="rId329" xr:uid="{00000000-0004-0000-0E00-000048010000}"/>
    <hyperlink ref="X331" r:id="rId330" xr:uid="{00000000-0004-0000-0E00-000049010000}"/>
    <hyperlink ref="X332" r:id="rId331" xr:uid="{00000000-0004-0000-0E00-00004A010000}"/>
    <hyperlink ref="X333" r:id="rId332" xr:uid="{00000000-0004-0000-0E00-00004B010000}"/>
    <hyperlink ref="X334" r:id="rId333" xr:uid="{00000000-0004-0000-0E00-00004C010000}"/>
    <hyperlink ref="X335" r:id="rId334" xr:uid="{00000000-0004-0000-0E00-00004D010000}"/>
    <hyperlink ref="X336" r:id="rId335" xr:uid="{00000000-0004-0000-0E00-00004E010000}"/>
    <hyperlink ref="X337" r:id="rId336" xr:uid="{00000000-0004-0000-0E00-00004F010000}"/>
    <hyperlink ref="X338" r:id="rId337" xr:uid="{00000000-0004-0000-0E00-000050010000}"/>
    <hyperlink ref="X339" r:id="rId338" xr:uid="{00000000-0004-0000-0E00-000051010000}"/>
    <hyperlink ref="X340" r:id="rId339" xr:uid="{00000000-0004-0000-0E00-000052010000}"/>
    <hyperlink ref="X341" r:id="rId340" xr:uid="{00000000-0004-0000-0E00-000053010000}"/>
    <hyperlink ref="X342" r:id="rId341" xr:uid="{00000000-0004-0000-0E00-000054010000}"/>
    <hyperlink ref="X343" r:id="rId342" xr:uid="{00000000-0004-0000-0E00-000055010000}"/>
    <hyperlink ref="X344" r:id="rId343" xr:uid="{00000000-0004-0000-0E00-000056010000}"/>
    <hyperlink ref="X345" r:id="rId344" xr:uid="{00000000-0004-0000-0E00-000057010000}"/>
    <hyperlink ref="X346" r:id="rId345" xr:uid="{00000000-0004-0000-0E00-000058010000}"/>
    <hyperlink ref="X347" r:id="rId346" xr:uid="{00000000-0004-0000-0E00-000059010000}"/>
    <hyperlink ref="X348" r:id="rId347" xr:uid="{00000000-0004-0000-0E00-00005A010000}"/>
    <hyperlink ref="X349" r:id="rId348" xr:uid="{00000000-0004-0000-0E00-00005B010000}"/>
    <hyperlink ref="X350" r:id="rId349" xr:uid="{00000000-0004-0000-0E00-00005C010000}"/>
    <hyperlink ref="X351" r:id="rId350" xr:uid="{00000000-0004-0000-0E00-00005D010000}"/>
    <hyperlink ref="X352" r:id="rId351" xr:uid="{00000000-0004-0000-0E00-00005E010000}"/>
    <hyperlink ref="X353" r:id="rId352" xr:uid="{00000000-0004-0000-0E00-00005F010000}"/>
    <hyperlink ref="X354" r:id="rId353" xr:uid="{00000000-0004-0000-0E00-000060010000}"/>
    <hyperlink ref="X355" r:id="rId354" xr:uid="{00000000-0004-0000-0E00-000061010000}"/>
    <hyperlink ref="X356" r:id="rId355" xr:uid="{00000000-0004-0000-0E00-000062010000}"/>
    <hyperlink ref="X357" r:id="rId356" xr:uid="{00000000-0004-0000-0E00-000063010000}"/>
    <hyperlink ref="X358" r:id="rId357" xr:uid="{00000000-0004-0000-0E00-000064010000}"/>
    <hyperlink ref="X359" r:id="rId358" xr:uid="{00000000-0004-0000-0E00-000065010000}"/>
    <hyperlink ref="X360" r:id="rId359" xr:uid="{00000000-0004-0000-0E00-000066010000}"/>
    <hyperlink ref="X361" r:id="rId360" xr:uid="{00000000-0004-0000-0E00-000067010000}"/>
    <hyperlink ref="X362" r:id="rId361" xr:uid="{00000000-0004-0000-0E00-000068010000}"/>
    <hyperlink ref="X363" r:id="rId362" xr:uid="{00000000-0004-0000-0E00-000069010000}"/>
    <hyperlink ref="X364" r:id="rId363" xr:uid="{00000000-0004-0000-0E00-00006A010000}"/>
    <hyperlink ref="X365" r:id="rId364" xr:uid="{00000000-0004-0000-0E00-00006B010000}"/>
    <hyperlink ref="X366" r:id="rId365" xr:uid="{00000000-0004-0000-0E00-00006C010000}"/>
    <hyperlink ref="X367" r:id="rId366" xr:uid="{00000000-0004-0000-0E00-00006D010000}"/>
    <hyperlink ref="X368" r:id="rId367" xr:uid="{00000000-0004-0000-0E00-00006E010000}"/>
    <hyperlink ref="X369" r:id="rId368" xr:uid="{00000000-0004-0000-0E00-00006F010000}"/>
    <hyperlink ref="X370" r:id="rId369" xr:uid="{00000000-0004-0000-0E00-000070010000}"/>
    <hyperlink ref="X371" r:id="rId370" xr:uid="{00000000-0004-0000-0E00-000071010000}"/>
    <hyperlink ref="X372" r:id="rId371" xr:uid="{00000000-0004-0000-0E00-000072010000}"/>
    <hyperlink ref="X373" r:id="rId372" xr:uid="{00000000-0004-0000-0E00-000073010000}"/>
    <hyperlink ref="X374" r:id="rId373" xr:uid="{00000000-0004-0000-0E00-000074010000}"/>
    <hyperlink ref="X375" r:id="rId374" xr:uid="{00000000-0004-0000-0E00-000075010000}"/>
    <hyperlink ref="X376" r:id="rId375" xr:uid="{00000000-0004-0000-0E00-000076010000}"/>
    <hyperlink ref="X377" r:id="rId376" xr:uid="{00000000-0004-0000-0E00-000077010000}"/>
    <hyperlink ref="X378" r:id="rId377" xr:uid="{00000000-0004-0000-0E00-000078010000}"/>
    <hyperlink ref="X379" r:id="rId378" xr:uid="{00000000-0004-0000-0E00-000079010000}"/>
    <hyperlink ref="X380" r:id="rId379" xr:uid="{00000000-0004-0000-0E00-00007A010000}"/>
    <hyperlink ref="X381" r:id="rId380" xr:uid="{00000000-0004-0000-0E00-00007B010000}"/>
    <hyperlink ref="X382" r:id="rId381" xr:uid="{00000000-0004-0000-0E00-00007C010000}"/>
    <hyperlink ref="X383" r:id="rId382" xr:uid="{00000000-0004-0000-0E00-00007D010000}"/>
    <hyperlink ref="X384" r:id="rId383" xr:uid="{00000000-0004-0000-0E00-00007E010000}"/>
    <hyperlink ref="X385" r:id="rId384" xr:uid="{00000000-0004-0000-0E00-00007F010000}"/>
    <hyperlink ref="X386" r:id="rId385" xr:uid="{00000000-0004-0000-0E00-000080010000}"/>
    <hyperlink ref="X387" r:id="rId386" xr:uid="{00000000-0004-0000-0E00-000081010000}"/>
    <hyperlink ref="X388" r:id="rId387" xr:uid="{00000000-0004-0000-0E00-000082010000}"/>
    <hyperlink ref="X389" r:id="rId388" xr:uid="{00000000-0004-0000-0E00-000083010000}"/>
    <hyperlink ref="X390" r:id="rId389" xr:uid="{00000000-0004-0000-0E00-000084010000}"/>
    <hyperlink ref="X391" r:id="rId390" xr:uid="{00000000-0004-0000-0E00-000085010000}"/>
    <hyperlink ref="X392" r:id="rId391" xr:uid="{00000000-0004-0000-0E00-000086010000}"/>
    <hyperlink ref="X393" r:id="rId392" xr:uid="{00000000-0004-0000-0E00-000087010000}"/>
    <hyperlink ref="X394" r:id="rId393" xr:uid="{00000000-0004-0000-0E00-000088010000}"/>
    <hyperlink ref="X395" r:id="rId394" xr:uid="{00000000-0004-0000-0E00-000089010000}"/>
    <hyperlink ref="X396" r:id="rId395" xr:uid="{00000000-0004-0000-0E00-00008A010000}"/>
    <hyperlink ref="X397" r:id="rId396" xr:uid="{00000000-0004-0000-0E00-00008B010000}"/>
    <hyperlink ref="X398" r:id="rId397" xr:uid="{00000000-0004-0000-0E00-00008C010000}"/>
    <hyperlink ref="X399" r:id="rId398" xr:uid="{00000000-0004-0000-0E00-00008D010000}"/>
    <hyperlink ref="X400" r:id="rId399" xr:uid="{00000000-0004-0000-0E00-00008E010000}"/>
    <hyperlink ref="X401" r:id="rId400" xr:uid="{00000000-0004-0000-0E00-00008F010000}"/>
    <hyperlink ref="X402" r:id="rId401" xr:uid="{00000000-0004-0000-0E00-000090010000}"/>
    <hyperlink ref="X403" r:id="rId402" xr:uid="{00000000-0004-0000-0E00-000091010000}"/>
    <hyperlink ref="X404" r:id="rId403" xr:uid="{00000000-0004-0000-0E00-000092010000}"/>
    <hyperlink ref="X405" r:id="rId404" xr:uid="{00000000-0004-0000-0E00-000093010000}"/>
    <hyperlink ref="X406" r:id="rId405" xr:uid="{00000000-0004-0000-0E00-000094010000}"/>
    <hyperlink ref="X407" r:id="rId406" xr:uid="{00000000-0004-0000-0E00-000095010000}"/>
    <hyperlink ref="X408" r:id="rId407" xr:uid="{00000000-0004-0000-0E00-000096010000}"/>
    <hyperlink ref="X409" r:id="rId408" xr:uid="{00000000-0004-0000-0E00-000097010000}"/>
    <hyperlink ref="X410" r:id="rId409" xr:uid="{00000000-0004-0000-0E00-000098010000}"/>
    <hyperlink ref="X411" r:id="rId410" xr:uid="{00000000-0004-0000-0E00-000099010000}"/>
    <hyperlink ref="X412" r:id="rId411" xr:uid="{00000000-0004-0000-0E00-00009A010000}"/>
    <hyperlink ref="X413" r:id="rId412" xr:uid="{00000000-0004-0000-0E00-00009B010000}"/>
    <hyperlink ref="X414" r:id="rId413" xr:uid="{00000000-0004-0000-0E00-00009C010000}"/>
    <hyperlink ref="X415" r:id="rId414" xr:uid="{00000000-0004-0000-0E00-00009D010000}"/>
    <hyperlink ref="X416" r:id="rId415" xr:uid="{00000000-0004-0000-0E00-00009E010000}"/>
    <hyperlink ref="X417" r:id="rId416" xr:uid="{00000000-0004-0000-0E00-00009F010000}"/>
    <hyperlink ref="X418" r:id="rId417" xr:uid="{00000000-0004-0000-0E00-0000A0010000}"/>
    <hyperlink ref="X419" r:id="rId418" xr:uid="{00000000-0004-0000-0E00-0000A1010000}"/>
    <hyperlink ref="X420" r:id="rId419" xr:uid="{00000000-0004-0000-0E00-0000A2010000}"/>
    <hyperlink ref="X421" r:id="rId420" xr:uid="{00000000-0004-0000-0E00-0000A3010000}"/>
    <hyperlink ref="X422" r:id="rId421" xr:uid="{00000000-0004-0000-0E00-0000A4010000}"/>
    <hyperlink ref="X423" r:id="rId422" xr:uid="{00000000-0004-0000-0E00-0000A5010000}"/>
    <hyperlink ref="X424" r:id="rId423" xr:uid="{00000000-0004-0000-0E00-0000A6010000}"/>
    <hyperlink ref="X425" r:id="rId424" xr:uid="{00000000-0004-0000-0E00-0000A7010000}"/>
    <hyperlink ref="X426" r:id="rId425" xr:uid="{00000000-0004-0000-0E00-0000A8010000}"/>
    <hyperlink ref="X427" r:id="rId426" xr:uid="{00000000-0004-0000-0E00-0000A9010000}"/>
    <hyperlink ref="X428" r:id="rId427" xr:uid="{00000000-0004-0000-0E00-0000AA010000}"/>
    <hyperlink ref="X429" r:id="rId428" xr:uid="{00000000-0004-0000-0E00-0000AB010000}"/>
    <hyperlink ref="X430" r:id="rId429" xr:uid="{00000000-0004-0000-0E00-0000AC010000}"/>
    <hyperlink ref="X431" r:id="rId430" xr:uid="{00000000-0004-0000-0E00-0000AD010000}"/>
    <hyperlink ref="X432" r:id="rId431" xr:uid="{00000000-0004-0000-0E00-0000AE010000}"/>
    <hyperlink ref="X433" r:id="rId432" xr:uid="{00000000-0004-0000-0E00-0000AF010000}"/>
    <hyperlink ref="X434" r:id="rId433" xr:uid="{00000000-0004-0000-0E00-0000B0010000}"/>
    <hyperlink ref="X435" r:id="rId434" xr:uid="{00000000-0004-0000-0E00-0000B1010000}"/>
    <hyperlink ref="X436" r:id="rId435" xr:uid="{00000000-0004-0000-0E00-0000B2010000}"/>
    <hyperlink ref="X437" r:id="rId436" xr:uid="{00000000-0004-0000-0E00-0000B3010000}"/>
    <hyperlink ref="X438" r:id="rId437" xr:uid="{00000000-0004-0000-0E00-0000B4010000}"/>
    <hyperlink ref="X439" r:id="rId438" xr:uid="{00000000-0004-0000-0E00-0000B5010000}"/>
    <hyperlink ref="X440" r:id="rId439" xr:uid="{00000000-0004-0000-0E00-0000B6010000}"/>
    <hyperlink ref="X441" r:id="rId440" xr:uid="{00000000-0004-0000-0E00-0000B7010000}"/>
    <hyperlink ref="X442" r:id="rId441" xr:uid="{00000000-0004-0000-0E00-0000B8010000}"/>
    <hyperlink ref="X443" r:id="rId442" xr:uid="{00000000-0004-0000-0E00-0000B9010000}"/>
    <hyperlink ref="X444" r:id="rId443" xr:uid="{00000000-0004-0000-0E00-0000BA010000}"/>
    <hyperlink ref="X445" r:id="rId444" xr:uid="{00000000-0004-0000-0E00-0000BB010000}"/>
    <hyperlink ref="X446" r:id="rId445" xr:uid="{00000000-0004-0000-0E00-0000BC010000}"/>
    <hyperlink ref="X447" r:id="rId446" xr:uid="{00000000-0004-0000-0E00-0000BD010000}"/>
    <hyperlink ref="X448" r:id="rId447" xr:uid="{00000000-0004-0000-0E00-0000BE010000}"/>
    <hyperlink ref="X449" r:id="rId448" xr:uid="{00000000-0004-0000-0E00-0000BF010000}"/>
    <hyperlink ref="X450" r:id="rId449" xr:uid="{00000000-0004-0000-0E00-0000C0010000}"/>
    <hyperlink ref="X451" r:id="rId450" xr:uid="{00000000-0004-0000-0E00-0000C1010000}"/>
    <hyperlink ref="X452" r:id="rId451" xr:uid="{00000000-0004-0000-0E00-0000C2010000}"/>
    <hyperlink ref="X453" r:id="rId452" xr:uid="{00000000-0004-0000-0E00-0000C3010000}"/>
    <hyperlink ref="X454" r:id="rId453" xr:uid="{00000000-0004-0000-0E00-0000C4010000}"/>
    <hyperlink ref="X455" r:id="rId454" xr:uid="{00000000-0004-0000-0E00-0000C5010000}"/>
    <hyperlink ref="X456" r:id="rId455" xr:uid="{00000000-0004-0000-0E00-0000C6010000}"/>
    <hyperlink ref="X457" r:id="rId456" xr:uid="{00000000-0004-0000-0E00-0000C7010000}"/>
    <hyperlink ref="X458" r:id="rId457" xr:uid="{00000000-0004-0000-0E00-0000C8010000}"/>
    <hyperlink ref="X459" r:id="rId458" xr:uid="{00000000-0004-0000-0E00-0000C9010000}"/>
    <hyperlink ref="X460" r:id="rId459" xr:uid="{00000000-0004-0000-0E00-0000CA010000}"/>
    <hyperlink ref="X461" r:id="rId460" xr:uid="{00000000-0004-0000-0E00-0000CB010000}"/>
    <hyperlink ref="X462" r:id="rId461" xr:uid="{00000000-0004-0000-0E00-0000CC010000}"/>
    <hyperlink ref="X463" r:id="rId462" xr:uid="{00000000-0004-0000-0E00-0000CD010000}"/>
    <hyperlink ref="X464" r:id="rId463" xr:uid="{00000000-0004-0000-0E00-0000CE010000}"/>
    <hyperlink ref="X465" r:id="rId464" xr:uid="{00000000-0004-0000-0E00-0000CF010000}"/>
    <hyperlink ref="X466" r:id="rId465" xr:uid="{00000000-0004-0000-0E00-0000D0010000}"/>
    <hyperlink ref="X467" r:id="rId466" xr:uid="{00000000-0004-0000-0E00-0000D1010000}"/>
    <hyperlink ref="X468" r:id="rId467" xr:uid="{00000000-0004-0000-0E00-0000D2010000}"/>
    <hyperlink ref="X469" r:id="rId468" xr:uid="{00000000-0004-0000-0E00-0000D3010000}"/>
    <hyperlink ref="X470" r:id="rId469" xr:uid="{00000000-0004-0000-0E00-0000D4010000}"/>
    <hyperlink ref="X471" r:id="rId470" xr:uid="{00000000-0004-0000-0E00-0000D5010000}"/>
    <hyperlink ref="X472" r:id="rId471" xr:uid="{00000000-0004-0000-0E00-0000D6010000}"/>
    <hyperlink ref="X473" r:id="rId472" xr:uid="{00000000-0004-0000-0E00-0000D7010000}"/>
    <hyperlink ref="X474" r:id="rId473" xr:uid="{00000000-0004-0000-0E00-0000D8010000}"/>
    <hyperlink ref="X475" r:id="rId474" xr:uid="{00000000-0004-0000-0E00-0000D9010000}"/>
    <hyperlink ref="X476" r:id="rId475" xr:uid="{00000000-0004-0000-0E00-0000DA010000}"/>
    <hyperlink ref="X477" r:id="rId476" xr:uid="{00000000-0004-0000-0E00-0000DB010000}"/>
    <hyperlink ref="X478" r:id="rId477" xr:uid="{00000000-0004-0000-0E00-0000DC010000}"/>
    <hyperlink ref="X479" r:id="rId478" xr:uid="{00000000-0004-0000-0E00-0000DD010000}"/>
    <hyperlink ref="X480" r:id="rId479" xr:uid="{00000000-0004-0000-0E00-0000DE010000}"/>
    <hyperlink ref="X481" r:id="rId480" xr:uid="{00000000-0004-0000-0E00-0000DF010000}"/>
    <hyperlink ref="X482" r:id="rId481" xr:uid="{00000000-0004-0000-0E00-0000E0010000}"/>
    <hyperlink ref="X483" r:id="rId482" xr:uid="{00000000-0004-0000-0E00-0000E1010000}"/>
    <hyperlink ref="X484" r:id="rId483" xr:uid="{00000000-0004-0000-0E00-0000E2010000}"/>
    <hyperlink ref="X485" r:id="rId484" xr:uid="{00000000-0004-0000-0E00-0000E3010000}"/>
    <hyperlink ref="X486" r:id="rId485" xr:uid="{00000000-0004-0000-0E00-0000E4010000}"/>
    <hyperlink ref="X487" r:id="rId486" xr:uid="{00000000-0004-0000-0E00-0000E5010000}"/>
    <hyperlink ref="X488" r:id="rId487" xr:uid="{00000000-0004-0000-0E00-0000E6010000}"/>
    <hyperlink ref="X489" r:id="rId488" xr:uid="{00000000-0004-0000-0E00-0000E7010000}"/>
    <hyperlink ref="X490" r:id="rId489" xr:uid="{00000000-0004-0000-0E00-0000E8010000}"/>
    <hyperlink ref="X491" r:id="rId490" xr:uid="{00000000-0004-0000-0E00-0000E9010000}"/>
    <hyperlink ref="X492" r:id="rId491" xr:uid="{00000000-0004-0000-0E00-0000EA010000}"/>
    <hyperlink ref="X493" r:id="rId492" xr:uid="{00000000-0004-0000-0E00-0000EB010000}"/>
    <hyperlink ref="X494" r:id="rId493" xr:uid="{00000000-0004-0000-0E00-0000EC010000}"/>
    <hyperlink ref="X495" r:id="rId494" xr:uid="{00000000-0004-0000-0E00-0000ED010000}"/>
    <hyperlink ref="X496" r:id="rId495" xr:uid="{00000000-0004-0000-0E00-0000EE010000}"/>
    <hyperlink ref="X497" r:id="rId496" xr:uid="{00000000-0004-0000-0E00-0000EF010000}"/>
    <hyperlink ref="X498" r:id="rId497" xr:uid="{00000000-0004-0000-0E00-0000F0010000}"/>
    <hyperlink ref="X499" r:id="rId498" xr:uid="{00000000-0004-0000-0E00-0000F1010000}"/>
    <hyperlink ref="X500" r:id="rId499" xr:uid="{00000000-0004-0000-0E00-0000F2010000}"/>
    <hyperlink ref="X501" r:id="rId500" xr:uid="{00000000-0004-0000-0E00-0000F3010000}"/>
    <hyperlink ref="X502" r:id="rId501" xr:uid="{00000000-0004-0000-0E00-0000F4010000}"/>
    <hyperlink ref="X503" r:id="rId502" xr:uid="{00000000-0004-0000-0E00-0000F5010000}"/>
    <hyperlink ref="X504" r:id="rId503" xr:uid="{00000000-0004-0000-0E00-0000F6010000}"/>
    <hyperlink ref="X505" r:id="rId504" xr:uid="{00000000-0004-0000-0E00-0000F7010000}"/>
    <hyperlink ref="X506" r:id="rId505" xr:uid="{00000000-0004-0000-0E00-0000F8010000}"/>
    <hyperlink ref="X507" r:id="rId506" xr:uid="{00000000-0004-0000-0E00-0000F9010000}"/>
    <hyperlink ref="X508" r:id="rId507" xr:uid="{00000000-0004-0000-0E00-0000FA010000}"/>
    <hyperlink ref="X509" r:id="rId508" xr:uid="{00000000-0004-0000-0E00-0000FB010000}"/>
    <hyperlink ref="X510" r:id="rId509" xr:uid="{00000000-0004-0000-0E00-0000FC010000}"/>
    <hyperlink ref="X511" r:id="rId510" xr:uid="{00000000-0004-0000-0E00-0000FD010000}"/>
    <hyperlink ref="X512" r:id="rId511" xr:uid="{00000000-0004-0000-0E00-0000FE010000}"/>
    <hyperlink ref="X513" r:id="rId512" xr:uid="{00000000-0004-0000-0E00-0000FF010000}"/>
    <hyperlink ref="X514" r:id="rId513" xr:uid="{00000000-0004-0000-0E00-000000020000}"/>
    <hyperlink ref="X515" r:id="rId514" xr:uid="{00000000-0004-0000-0E00-000001020000}"/>
    <hyperlink ref="X516" r:id="rId515" xr:uid="{00000000-0004-0000-0E00-000002020000}"/>
    <hyperlink ref="X517" r:id="rId516" xr:uid="{00000000-0004-0000-0E00-000003020000}"/>
    <hyperlink ref="X518" r:id="rId517" xr:uid="{00000000-0004-0000-0E00-000004020000}"/>
    <hyperlink ref="X519" r:id="rId518" xr:uid="{00000000-0004-0000-0E00-000005020000}"/>
    <hyperlink ref="X520" r:id="rId519" xr:uid="{00000000-0004-0000-0E00-000006020000}"/>
    <hyperlink ref="X521" r:id="rId520" xr:uid="{00000000-0004-0000-0E00-000007020000}"/>
    <hyperlink ref="X522" r:id="rId521" xr:uid="{00000000-0004-0000-0E00-000008020000}"/>
    <hyperlink ref="X523" r:id="rId522" xr:uid="{00000000-0004-0000-0E00-000009020000}"/>
    <hyperlink ref="X524" r:id="rId523" xr:uid="{00000000-0004-0000-0E00-00000A020000}"/>
    <hyperlink ref="X525" r:id="rId524" xr:uid="{00000000-0004-0000-0E00-00000B020000}"/>
    <hyperlink ref="X526" r:id="rId525" xr:uid="{00000000-0004-0000-0E00-00000C020000}"/>
    <hyperlink ref="X527" r:id="rId526" xr:uid="{00000000-0004-0000-0E00-00000D020000}"/>
    <hyperlink ref="X528" r:id="rId527" xr:uid="{00000000-0004-0000-0E00-00000E020000}"/>
    <hyperlink ref="X529" r:id="rId528" xr:uid="{00000000-0004-0000-0E00-00000F020000}"/>
    <hyperlink ref="X530" r:id="rId529" xr:uid="{00000000-0004-0000-0E00-000010020000}"/>
    <hyperlink ref="X531" r:id="rId530" xr:uid="{00000000-0004-0000-0E00-000011020000}"/>
    <hyperlink ref="X532" r:id="rId531" xr:uid="{00000000-0004-0000-0E00-000012020000}"/>
    <hyperlink ref="X533" r:id="rId532" xr:uid="{00000000-0004-0000-0E00-000013020000}"/>
    <hyperlink ref="X534" r:id="rId533" xr:uid="{00000000-0004-0000-0E00-000014020000}"/>
    <hyperlink ref="X535" r:id="rId534" xr:uid="{00000000-0004-0000-0E00-000015020000}"/>
    <hyperlink ref="X536" r:id="rId535" xr:uid="{00000000-0004-0000-0E00-000016020000}"/>
    <hyperlink ref="X537" r:id="rId536" xr:uid="{00000000-0004-0000-0E00-000017020000}"/>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AA5B1"/>
  </sheetPr>
  <dimension ref="A1:H473"/>
  <sheetViews>
    <sheetView showGridLines="0" zoomScale="90" workbookViewId="0">
      <pane ySplit="1" topLeftCell="A2" activePane="bottomLeft" state="frozen"/>
      <selection pane="bottomLeft"/>
    </sheetView>
  </sheetViews>
  <sheetFormatPr defaultRowHeight="15" x14ac:dyDescent="0.25"/>
  <cols>
    <col min="1" max="1" width="24" customWidth="1"/>
    <col min="2" max="2" width="20" customWidth="1"/>
    <col min="3" max="3" width="40" customWidth="1"/>
    <col min="4" max="4" width="70" customWidth="1"/>
    <col min="5" max="5" width="12" customWidth="1"/>
    <col min="6" max="6" width="60" customWidth="1"/>
    <col min="7" max="7" width="12" customWidth="1"/>
    <col min="8" max="8" width="36" customWidth="1"/>
  </cols>
  <sheetData>
    <row r="1" spans="1:8" x14ac:dyDescent="0.25">
      <c r="A1" s="49" t="s">
        <v>296</v>
      </c>
      <c r="B1" s="49" t="s">
        <v>1050</v>
      </c>
      <c r="C1" s="49" t="s">
        <v>456</v>
      </c>
      <c r="D1" s="49" t="s">
        <v>2938</v>
      </c>
      <c r="E1" s="49" t="s">
        <v>529</v>
      </c>
      <c r="F1" s="49" t="s">
        <v>2939</v>
      </c>
      <c r="G1" s="49" t="s">
        <v>2940</v>
      </c>
      <c r="H1" s="49" t="s">
        <v>1063</v>
      </c>
    </row>
    <row r="2" spans="1:8" x14ac:dyDescent="0.25">
      <c r="A2" s="50" t="s">
        <v>1065</v>
      </c>
      <c r="B2" s="50" t="s">
        <v>224</v>
      </c>
      <c r="C2" s="50" t="s">
        <v>400</v>
      </c>
      <c r="D2" s="8" t="s">
        <v>2941</v>
      </c>
      <c r="E2" s="50" t="s">
        <v>1067</v>
      </c>
      <c r="F2" s="8" t="s">
        <v>2942</v>
      </c>
      <c r="G2" s="50">
        <v>14.3</v>
      </c>
      <c r="H2" s="50" t="s">
        <v>168</v>
      </c>
    </row>
    <row r="3" spans="1:8" x14ac:dyDescent="0.25">
      <c r="A3" s="50" t="s">
        <v>1065</v>
      </c>
      <c r="B3" s="50" t="s">
        <v>224</v>
      </c>
      <c r="C3" s="50" t="s">
        <v>509</v>
      </c>
      <c r="D3" s="8" t="s">
        <v>2943</v>
      </c>
      <c r="E3" s="50" t="s">
        <v>1068</v>
      </c>
      <c r="F3" s="8"/>
      <c r="G3" s="50"/>
      <c r="H3" s="50" t="s">
        <v>168</v>
      </c>
    </row>
    <row r="4" spans="1:8" x14ac:dyDescent="0.25">
      <c r="A4" s="50" t="s">
        <v>1065</v>
      </c>
      <c r="B4" s="50" t="s">
        <v>224</v>
      </c>
      <c r="C4" s="50" t="s">
        <v>509</v>
      </c>
      <c r="D4" s="8" t="s">
        <v>2944</v>
      </c>
      <c r="E4" s="50" t="s">
        <v>1067</v>
      </c>
      <c r="F4" s="8" t="s">
        <v>2945</v>
      </c>
      <c r="G4" s="50">
        <v>11.6</v>
      </c>
      <c r="H4" s="50" t="s">
        <v>168</v>
      </c>
    </row>
    <row r="5" spans="1:8" ht="25.5" x14ac:dyDescent="0.25">
      <c r="A5" s="50" t="s">
        <v>1065</v>
      </c>
      <c r="B5" s="50" t="s">
        <v>224</v>
      </c>
      <c r="C5" s="50" t="s">
        <v>400</v>
      </c>
      <c r="D5" s="8" t="s">
        <v>2946</v>
      </c>
      <c r="E5" s="50" t="s">
        <v>1067</v>
      </c>
      <c r="F5" s="8" t="s">
        <v>2947</v>
      </c>
      <c r="G5" s="50">
        <v>2</v>
      </c>
      <c r="H5" s="50" t="s">
        <v>168</v>
      </c>
    </row>
    <row r="6" spans="1:8" x14ac:dyDescent="0.25">
      <c r="A6" s="50" t="s">
        <v>1065</v>
      </c>
      <c r="B6" s="50" t="s">
        <v>224</v>
      </c>
      <c r="C6" s="50" t="s">
        <v>395</v>
      </c>
      <c r="D6" s="8" t="s">
        <v>2948</v>
      </c>
      <c r="E6" s="50" t="s">
        <v>1067</v>
      </c>
      <c r="F6" s="8" t="s">
        <v>2949</v>
      </c>
      <c r="G6" s="50">
        <v>48.1</v>
      </c>
      <c r="H6" s="50" t="s">
        <v>1198</v>
      </c>
    </row>
    <row r="7" spans="1:8" x14ac:dyDescent="0.25">
      <c r="A7" s="50" t="s">
        <v>1065</v>
      </c>
      <c r="B7" s="50" t="s">
        <v>224</v>
      </c>
      <c r="C7" s="50" t="s">
        <v>448</v>
      </c>
      <c r="D7" s="8" t="s">
        <v>2950</v>
      </c>
      <c r="E7" s="50" t="s">
        <v>1067</v>
      </c>
      <c r="F7" s="8" t="s">
        <v>2949</v>
      </c>
      <c r="G7" s="50">
        <v>48.3</v>
      </c>
      <c r="H7" s="50" t="s">
        <v>1198</v>
      </c>
    </row>
    <row r="8" spans="1:8" x14ac:dyDescent="0.25">
      <c r="A8" s="50" t="s">
        <v>1065</v>
      </c>
      <c r="B8" s="50" t="s">
        <v>224</v>
      </c>
      <c r="C8" s="50" t="s">
        <v>448</v>
      </c>
      <c r="D8" s="8" t="s">
        <v>2951</v>
      </c>
      <c r="E8" s="50" t="s">
        <v>1068</v>
      </c>
      <c r="F8" s="8"/>
      <c r="G8" s="50"/>
      <c r="H8" s="50" t="s">
        <v>1198</v>
      </c>
    </row>
    <row r="9" spans="1:8" x14ac:dyDescent="0.25">
      <c r="A9" s="50" t="s">
        <v>1065</v>
      </c>
      <c r="B9" s="50" t="s">
        <v>224</v>
      </c>
      <c r="C9" s="50" t="s">
        <v>443</v>
      </c>
      <c r="D9" s="8" t="s">
        <v>2952</v>
      </c>
      <c r="E9" s="50" t="s">
        <v>1068</v>
      </c>
      <c r="F9" s="8"/>
      <c r="G9" s="50"/>
      <c r="H9" s="50" t="s">
        <v>1198</v>
      </c>
    </row>
    <row r="10" spans="1:8" x14ac:dyDescent="0.25">
      <c r="A10" s="50" t="s">
        <v>1065</v>
      </c>
      <c r="B10" s="50" t="s">
        <v>224</v>
      </c>
      <c r="C10" s="50" t="s">
        <v>509</v>
      </c>
      <c r="D10" s="8" t="s">
        <v>2953</v>
      </c>
      <c r="E10" s="50" t="s">
        <v>1067</v>
      </c>
      <c r="F10" s="8" t="s">
        <v>2949</v>
      </c>
      <c r="G10" s="50">
        <v>70</v>
      </c>
      <c r="H10" s="50" t="s">
        <v>1276</v>
      </c>
    </row>
    <row r="11" spans="1:8" x14ac:dyDescent="0.25">
      <c r="A11" s="50" t="s">
        <v>1065</v>
      </c>
      <c r="B11" s="50" t="s">
        <v>224</v>
      </c>
      <c r="C11" s="50" t="s">
        <v>509</v>
      </c>
      <c r="D11" s="8" t="s">
        <v>2954</v>
      </c>
      <c r="E11" s="50" t="s">
        <v>1067</v>
      </c>
      <c r="F11" s="8" t="s">
        <v>2945</v>
      </c>
      <c r="G11" s="50">
        <v>43.5</v>
      </c>
      <c r="H11" s="50" t="s">
        <v>1276</v>
      </c>
    </row>
    <row r="12" spans="1:8" x14ac:dyDescent="0.25">
      <c r="A12" s="50" t="s">
        <v>1065</v>
      </c>
      <c r="B12" s="50" t="s">
        <v>224</v>
      </c>
      <c r="C12" s="50" t="s">
        <v>509</v>
      </c>
      <c r="D12" s="8" t="s">
        <v>2955</v>
      </c>
      <c r="E12" s="50" t="s">
        <v>1067</v>
      </c>
      <c r="F12" s="8" t="s">
        <v>2945</v>
      </c>
      <c r="G12" s="50">
        <v>196.3</v>
      </c>
      <c r="H12" s="50" t="s">
        <v>1276</v>
      </c>
    </row>
    <row r="13" spans="1:8" x14ac:dyDescent="0.25">
      <c r="A13" s="50" t="s">
        <v>1065</v>
      </c>
      <c r="B13" s="50" t="s">
        <v>224</v>
      </c>
      <c r="C13" s="50" t="s">
        <v>395</v>
      </c>
      <c r="D13" s="8" t="s">
        <v>2956</v>
      </c>
      <c r="E13" s="50" t="s">
        <v>1068</v>
      </c>
      <c r="F13" s="8"/>
      <c r="G13" s="50"/>
      <c r="H13" s="50" t="s">
        <v>1295</v>
      </c>
    </row>
    <row r="14" spans="1:8" x14ac:dyDescent="0.25">
      <c r="A14" s="50" t="s">
        <v>1065</v>
      </c>
      <c r="B14" s="50" t="s">
        <v>224</v>
      </c>
      <c r="C14" s="50" t="s">
        <v>395</v>
      </c>
      <c r="D14" s="8" t="s">
        <v>2957</v>
      </c>
      <c r="E14" s="50" t="s">
        <v>1067</v>
      </c>
      <c r="F14" s="8" t="s">
        <v>2958</v>
      </c>
      <c r="G14" s="50">
        <v>8.6</v>
      </c>
      <c r="H14" s="50" t="s">
        <v>1295</v>
      </c>
    </row>
    <row r="15" spans="1:8" x14ac:dyDescent="0.25">
      <c r="A15" s="50" t="s">
        <v>1065</v>
      </c>
      <c r="B15" s="50" t="s">
        <v>224</v>
      </c>
      <c r="C15" s="50" t="s">
        <v>423</v>
      </c>
      <c r="D15" s="8" t="s">
        <v>2959</v>
      </c>
      <c r="E15" s="50" t="s">
        <v>1067</v>
      </c>
      <c r="F15" s="8" t="s">
        <v>2960</v>
      </c>
      <c r="G15" s="50">
        <v>0.2</v>
      </c>
      <c r="H15" s="50" t="s">
        <v>1295</v>
      </c>
    </row>
    <row r="16" spans="1:8" x14ac:dyDescent="0.25">
      <c r="A16" s="50" t="s">
        <v>1065</v>
      </c>
      <c r="B16" s="50" t="s">
        <v>224</v>
      </c>
      <c r="C16" s="50" t="s">
        <v>423</v>
      </c>
      <c r="D16" s="8" t="s">
        <v>2961</v>
      </c>
      <c r="E16" s="50" t="s">
        <v>1068</v>
      </c>
      <c r="F16" s="8"/>
      <c r="G16" s="50"/>
      <c r="H16" s="50" t="s">
        <v>1295</v>
      </c>
    </row>
    <row r="17" spans="1:8" x14ac:dyDescent="0.25">
      <c r="A17" s="50" t="s">
        <v>1065</v>
      </c>
      <c r="B17" s="50" t="s">
        <v>224</v>
      </c>
      <c r="C17" s="50" t="s">
        <v>423</v>
      </c>
      <c r="D17" s="8" t="s">
        <v>2962</v>
      </c>
      <c r="E17" s="50" t="s">
        <v>1068</v>
      </c>
      <c r="F17" s="8"/>
      <c r="G17" s="50"/>
      <c r="H17" s="50" t="s">
        <v>1295</v>
      </c>
    </row>
    <row r="18" spans="1:8" ht="25.5" x14ac:dyDescent="0.25">
      <c r="A18" s="50" t="s">
        <v>1065</v>
      </c>
      <c r="B18" s="50" t="s">
        <v>224</v>
      </c>
      <c r="C18" s="50" t="s">
        <v>448</v>
      </c>
      <c r="D18" s="8" t="s">
        <v>2963</v>
      </c>
      <c r="E18" s="50" t="s">
        <v>1068</v>
      </c>
      <c r="F18" s="8"/>
      <c r="G18" s="50"/>
      <c r="H18" s="50" t="s">
        <v>1257</v>
      </c>
    </row>
    <row r="19" spans="1:8" x14ac:dyDescent="0.25">
      <c r="A19" s="50" t="s">
        <v>1065</v>
      </c>
      <c r="B19" s="50" t="s">
        <v>224</v>
      </c>
      <c r="C19" s="50" t="s">
        <v>448</v>
      </c>
      <c r="D19" s="8" t="s">
        <v>2964</v>
      </c>
      <c r="E19" s="50" t="s">
        <v>1068</v>
      </c>
      <c r="F19" s="8"/>
      <c r="G19" s="50"/>
      <c r="H19" s="50" t="s">
        <v>1257</v>
      </c>
    </row>
    <row r="20" spans="1:8" x14ac:dyDescent="0.25">
      <c r="A20" s="50" t="s">
        <v>1065</v>
      </c>
      <c r="B20" s="50" t="s">
        <v>224</v>
      </c>
      <c r="C20" s="50" t="s">
        <v>448</v>
      </c>
      <c r="D20" s="8" t="s">
        <v>2965</v>
      </c>
      <c r="E20" s="50" t="s">
        <v>1068</v>
      </c>
      <c r="F20" s="8"/>
      <c r="G20" s="50"/>
      <c r="H20" s="50" t="s">
        <v>1257</v>
      </c>
    </row>
    <row r="21" spans="1:8" x14ac:dyDescent="0.25">
      <c r="A21" s="50" t="s">
        <v>1065</v>
      </c>
      <c r="B21" s="50" t="s">
        <v>224</v>
      </c>
      <c r="C21" s="50" t="s">
        <v>448</v>
      </c>
      <c r="D21" s="8" t="s">
        <v>2966</v>
      </c>
      <c r="E21" s="50" t="s">
        <v>1068</v>
      </c>
      <c r="F21" s="8"/>
      <c r="G21" s="50"/>
      <c r="H21" s="50" t="s">
        <v>1257</v>
      </c>
    </row>
    <row r="22" spans="1:8" x14ac:dyDescent="0.25">
      <c r="A22" s="50" t="s">
        <v>1065</v>
      </c>
      <c r="B22" s="50" t="s">
        <v>224</v>
      </c>
      <c r="C22" s="50" t="s">
        <v>509</v>
      </c>
      <c r="D22" s="8" t="s">
        <v>2967</v>
      </c>
      <c r="E22" s="50" t="s">
        <v>1068</v>
      </c>
      <c r="F22" s="8"/>
      <c r="G22" s="50"/>
      <c r="H22" s="50" t="s">
        <v>1268</v>
      </c>
    </row>
    <row r="23" spans="1:8" x14ac:dyDescent="0.25">
      <c r="A23" s="50" t="s">
        <v>1065</v>
      </c>
      <c r="B23" s="50" t="s">
        <v>224</v>
      </c>
      <c r="C23" s="50" t="s">
        <v>509</v>
      </c>
      <c r="D23" s="8" t="s">
        <v>2968</v>
      </c>
      <c r="E23" s="50" t="s">
        <v>1068</v>
      </c>
      <c r="F23" s="8"/>
      <c r="G23" s="50"/>
      <c r="H23" s="50" t="s">
        <v>1268</v>
      </c>
    </row>
    <row r="24" spans="1:8" x14ac:dyDescent="0.25">
      <c r="A24" s="50" t="s">
        <v>1065</v>
      </c>
      <c r="B24" s="50" t="s">
        <v>224</v>
      </c>
      <c r="C24" s="50" t="s">
        <v>448</v>
      </c>
      <c r="D24" s="8" t="s">
        <v>2969</v>
      </c>
      <c r="E24" s="50" t="s">
        <v>1068</v>
      </c>
      <c r="F24" s="8"/>
      <c r="G24" s="50"/>
      <c r="H24" s="50" t="s">
        <v>1268</v>
      </c>
    </row>
    <row r="25" spans="1:8" x14ac:dyDescent="0.25">
      <c r="A25" s="50" t="s">
        <v>1065</v>
      </c>
      <c r="B25" s="50" t="s">
        <v>224</v>
      </c>
      <c r="C25" s="50" t="s">
        <v>509</v>
      </c>
      <c r="D25" s="8" t="s">
        <v>2970</v>
      </c>
      <c r="E25" s="50" t="s">
        <v>1068</v>
      </c>
      <c r="F25" s="8"/>
      <c r="G25" s="50"/>
      <c r="H25" s="50" t="s">
        <v>1268</v>
      </c>
    </row>
    <row r="26" spans="1:8" x14ac:dyDescent="0.25">
      <c r="A26" s="50" t="s">
        <v>1065</v>
      </c>
      <c r="B26" s="50" t="s">
        <v>224</v>
      </c>
      <c r="C26" s="50" t="s">
        <v>509</v>
      </c>
      <c r="D26" s="8" t="s">
        <v>2970</v>
      </c>
      <c r="E26" s="50" t="s">
        <v>1068</v>
      </c>
      <c r="F26" s="8"/>
      <c r="G26" s="50"/>
      <c r="H26" s="50" t="s">
        <v>1268</v>
      </c>
    </row>
    <row r="27" spans="1:8" x14ac:dyDescent="0.25">
      <c r="A27" s="50" t="s">
        <v>1065</v>
      </c>
      <c r="B27" s="50" t="s">
        <v>224</v>
      </c>
      <c r="C27" s="50" t="s">
        <v>395</v>
      </c>
      <c r="D27" s="8" t="s">
        <v>2971</v>
      </c>
      <c r="E27" s="50" t="s">
        <v>1067</v>
      </c>
      <c r="F27" s="8" t="s">
        <v>2972</v>
      </c>
      <c r="G27" s="50">
        <v>0.3</v>
      </c>
      <c r="H27" s="50" t="s">
        <v>1407</v>
      </c>
    </row>
    <row r="28" spans="1:8" x14ac:dyDescent="0.25">
      <c r="A28" s="50" t="s">
        <v>1065</v>
      </c>
      <c r="B28" s="50" t="s">
        <v>224</v>
      </c>
      <c r="C28" s="50" t="s">
        <v>400</v>
      </c>
      <c r="D28" s="8" t="s">
        <v>2973</v>
      </c>
      <c r="E28" s="50" t="s">
        <v>1068</v>
      </c>
      <c r="F28" s="8"/>
      <c r="G28" s="50"/>
      <c r="H28" s="50" t="s">
        <v>1407</v>
      </c>
    </row>
    <row r="29" spans="1:8" x14ac:dyDescent="0.25">
      <c r="A29" s="50" t="s">
        <v>1065</v>
      </c>
      <c r="B29" s="50" t="s">
        <v>224</v>
      </c>
      <c r="C29" s="50" t="s">
        <v>509</v>
      </c>
      <c r="D29" s="8" t="s">
        <v>2974</v>
      </c>
      <c r="E29" s="50" t="s">
        <v>1067</v>
      </c>
      <c r="F29" s="8" t="s">
        <v>2949</v>
      </c>
      <c r="G29" s="50">
        <v>12.2</v>
      </c>
      <c r="H29" s="50" t="s">
        <v>1407</v>
      </c>
    </row>
    <row r="30" spans="1:8" x14ac:dyDescent="0.25">
      <c r="A30" s="50" t="s">
        <v>1065</v>
      </c>
      <c r="B30" s="50" t="s">
        <v>224</v>
      </c>
      <c r="C30" s="50" t="s">
        <v>509</v>
      </c>
      <c r="D30" s="8" t="s">
        <v>2975</v>
      </c>
      <c r="E30" s="50" t="s">
        <v>1068</v>
      </c>
      <c r="F30" s="8"/>
      <c r="G30" s="50"/>
      <c r="H30" s="50" t="s">
        <v>186</v>
      </c>
    </row>
    <row r="31" spans="1:8" x14ac:dyDescent="0.25">
      <c r="A31" s="50" t="s">
        <v>1065</v>
      </c>
      <c r="B31" s="50" t="s">
        <v>224</v>
      </c>
      <c r="C31" s="50" t="s">
        <v>509</v>
      </c>
      <c r="D31" s="8" t="s">
        <v>2976</v>
      </c>
      <c r="E31" s="50" t="s">
        <v>1068</v>
      </c>
      <c r="F31" s="8"/>
      <c r="G31" s="50"/>
      <c r="H31" s="50" t="s">
        <v>186</v>
      </c>
    </row>
    <row r="32" spans="1:8" x14ac:dyDescent="0.25">
      <c r="A32" s="50" t="s">
        <v>1065</v>
      </c>
      <c r="B32" s="50" t="s">
        <v>224</v>
      </c>
      <c r="C32" s="50" t="s">
        <v>509</v>
      </c>
      <c r="D32" s="8" t="s">
        <v>2977</v>
      </c>
      <c r="E32" s="50" t="s">
        <v>1068</v>
      </c>
      <c r="F32" s="8"/>
      <c r="G32" s="50"/>
      <c r="H32" s="50" t="s">
        <v>186</v>
      </c>
    </row>
    <row r="33" spans="1:8" x14ac:dyDescent="0.25">
      <c r="A33" s="50" t="s">
        <v>1065</v>
      </c>
      <c r="B33" s="50" t="s">
        <v>224</v>
      </c>
      <c r="C33" s="50" t="s">
        <v>443</v>
      </c>
      <c r="D33" s="8" t="s">
        <v>2952</v>
      </c>
      <c r="E33" s="50" t="s">
        <v>1068</v>
      </c>
      <c r="F33" s="8"/>
      <c r="G33" s="50"/>
      <c r="H33" s="50" t="s">
        <v>186</v>
      </c>
    </row>
    <row r="34" spans="1:8" x14ac:dyDescent="0.25">
      <c r="A34" s="50" t="s">
        <v>1065</v>
      </c>
      <c r="B34" s="50" t="s">
        <v>224</v>
      </c>
      <c r="C34" s="50" t="s">
        <v>411</v>
      </c>
      <c r="D34" s="8" t="s">
        <v>2978</v>
      </c>
      <c r="E34" s="50" t="s">
        <v>1068</v>
      </c>
      <c r="F34" s="8"/>
      <c r="G34" s="50"/>
      <c r="H34" s="50" t="s">
        <v>1280</v>
      </c>
    </row>
    <row r="35" spans="1:8" x14ac:dyDescent="0.25">
      <c r="A35" s="50" t="s">
        <v>1065</v>
      </c>
      <c r="B35" s="50" t="s">
        <v>224</v>
      </c>
      <c r="C35" s="50" t="s">
        <v>448</v>
      </c>
      <c r="D35" s="8" t="s">
        <v>2979</v>
      </c>
      <c r="E35" s="50" t="s">
        <v>1068</v>
      </c>
      <c r="F35" s="8"/>
      <c r="G35" s="50"/>
      <c r="H35" s="50" t="s">
        <v>1280</v>
      </c>
    </row>
    <row r="36" spans="1:8" x14ac:dyDescent="0.25">
      <c r="A36" s="50" t="s">
        <v>1065</v>
      </c>
      <c r="B36" s="50" t="s">
        <v>224</v>
      </c>
      <c r="C36" s="50" t="s">
        <v>509</v>
      </c>
      <c r="D36" s="8" t="s">
        <v>2980</v>
      </c>
      <c r="E36" s="50" t="s">
        <v>1067</v>
      </c>
      <c r="F36" s="8" t="s">
        <v>2949</v>
      </c>
      <c r="G36" s="50">
        <v>17.2</v>
      </c>
      <c r="H36" s="50" t="s">
        <v>1301</v>
      </c>
    </row>
    <row r="37" spans="1:8" x14ac:dyDescent="0.25">
      <c r="A37" s="50" t="s">
        <v>1065</v>
      </c>
      <c r="B37" s="50" t="s">
        <v>224</v>
      </c>
      <c r="C37" s="50" t="s">
        <v>509</v>
      </c>
      <c r="D37" s="8" t="s">
        <v>2981</v>
      </c>
      <c r="E37" s="50" t="s">
        <v>1067</v>
      </c>
      <c r="F37" s="8" t="s">
        <v>2982</v>
      </c>
      <c r="G37" s="50">
        <v>41.4</v>
      </c>
      <c r="H37" s="50" t="s">
        <v>1301</v>
      </c>
    </row>
    <row r="38" spans="1:8" x14ac:dyDescent="0.25">
      <c r="A38" s="50" t="s">
        <v>1460</v>
      </c>
      <c r="B38" s="50" t="s">
        <v>225</v>
      </c>
      <c r="C38" s="50" t="s">
        <v>443</v>
      </c>
      <c r="D38" s="8" t="s">
        <v>2983</v>
      </c>
      <c r="E38" s="50" t="s">
        <v>1068</v>
      </c>
      <c r="F38" s="8"/>
      <c r="G38" s="50"/>
      <c r="H38" s="50" t="s">
        <v>2984</v>
      </c>
    </row>
    <row r="39" spans="1:8" x14ac:dyDescent="0.25">
      <c r="A39" s="50" t="s">
        <v>1460</v>
      </c>
      <c r="B39" s="50" t="s">
        <v>225</v>
      </c>
      <c r="C39" s="50" t="s">
        <v>509</v>
      </c>
      <c r="D39" s="8" t="s">
        <v>2985</v>
      </c>
      <c r="E39" s="50" t="s">
        <v>1068</v>
      </c>
      <c r="F39" s="8"/>
      <c r="G39" s="50"/>
      <c r="H39" s="50" t="s">
        <v>2984</v>
      </c>
    </row>
    <row r="40" spans="1:8" x14ac:dyDescent="0.25">
      <c r="A40" s="50" t="s">
        <v>1460</v>
      </c>
      <c r="B40" s="50" t="s">
        <v>225</v>
      </c>
      <c r="C40" s="50" t="s">
        <v>448</v>
      </c>
      <c r="D40" s="8" t="s">
        <v>2986</v>
      </c>
      <c r="E40" s="50" t="s">
        <v>1068</v>
      </c>
      <c r="F40" s="8"/>
      <c r="G40" s="50"/>
      <c r="H40" s="50" t="s">
        <v>2984</v>
      </c>
    </row>
    <row r="41" spans="1:8" x14ac:dyDescent="0.25">
      <c r="A41" s="50" t="s">
        <v>1460</v>
      </c>
      <c r="B41" s="50" t="s">
        <v>225</v>
      </c>
      <c r="C41" s="50" t="s">
        <v>443</v>
      </c>
      <c r="D41" s="8" t="s">
        <v>2983</v>
      </c>
      <c r="E41" s="50" t="s">
        <v>1068</v>
      </c>
      <c r="F41" s="8"/>
      <c r="G41" s="50"/>
      <c r="H41" s="50" t="s">
        <v>2984</v>
      </c>
    </row>
    <row r="42" spans="1:8" x14ac:dyDescent="0.25">
      <c r="A42" s="50" t="s">
        <v>1460</v>
      </c>
      <c r="B42" s="50" t="s">
        <v>225</v>
      </c>
      <c r="C42" s="50" t="s">
        <v>509</v>
      </c>
      <c r="D42" s="8" t="s">
        <v>2985</v>
      </c>
      <c r="E42" s="50" t="s">
        <v>1068</v>
      </c>
      <c r="F42" s="8"/>
      <c r="G42" s="50"/>
      <c r="H42" s="50" t="s">
        <v>2984</v>
      </c>
    </row>
    <row r="43" spans="1:8" x14ac:dyDescent="0.25">
      <c r="A43" s="50" t="s">
        <v>1460</v>
      </c>
      <c r="B43" s="50" t="s">
        <v>225</v>
      </c>
      <c r="C43" s="50" t="s">
        <v>448</v>
      </c>
      <c r="D43" s="8" t="s">
        <v>2986</v>
      </c>
      <c r="E43" s="50" t="s">
        <v>1068</v>
      </c>
      <c r="F43" s="8"/>
      <c r="G43" s="50"/>
      <c r="H43" s="50" t="s">
        <v>2984</v>
      </c>
    </row>
    <row r="44" spans="1:8" ht="51" x14ac:dyDescent="0.25">
      <c r="A44" s="50" t="s">
        <v>1460</v>
      </c>
      <c r="B44" s="50" t="s">
        <v>225</v>
      </c>
      <c r="C44" s="50" t="s">
        <v>423</v>
      </c>
      <c r="D44" s="8" t="s">
        <v>2987</v>
      </c>
      <c r="E44" s="50" t="s">
        <v>1067</v>
      </c>
      <c r="F44" s="8" t="s">
        <v>2988</v>
      </c>
      <c r="G44" s="50">
        <v>40.1</v>
      </c>
      <c r="H44" s="50" t="s">
        <v>1472</v>
      </c>
    </row>
    <row r="45" spans="1:8" x14ac:dyDescent="0.25">
      <c r="A45" s="50" t="s">
        <v>1460</v>
      </c>
      <c r="B45" s="50" t="s">
        <v>225</v>
      </c>
      <c r="C45" s="50" t="s">
        <v>395</v>
      </c>
      <c r="D45" s="8" t="s">
        <v>2989</v>
      </c>
      <c r="E45" s="50" t="s">
        <v>1068</v>
      </c>
      <c r="F45" s="8"/>
      <c r="G45" s="50"/>
      <c r="H45" s="50" t="s">
        <v>1472</v>
      </c>
    </row>
    <row r="46" spans="1:8" ht="51" x14ac:dyDescent="0.25">
      <c r="A46" s="50" t="s">
        <v>1460</v>
      </c>
      <c r="B46" s="50" t="s">
        <v>225</v>
      </c>
      <c r="C46" s="50" t="s">
        <v>434</v>
      </c>
      <c r="D46" s="8" t="s">
        <v>2990</v>
      </c>
      <c r="E46" s="50" t="s">
        <v>1068</v>
      </c>
      <c r="F46" s="8"/>
      <c r="G46" s="50"/>
      <c r="H46" s="50" t="s">
        <v>1472</v>
      </c>
    </row>
    <row r="47" spans="1:8" x14ac:dyDescent="0.25">
      <c r="A47" s="50" t="s">
        <v>1460</v>
      </c>
      <c r="B47" s="50" t="s">
        <v>225</v>
      </c>
      <c r="C47" s="50" t="s">
        <v>443</v>
      </c>
      <c r="D47" s="8" t="s">
        <v>2952</v>
      </c>
      <c r="E47" s="50" t="s">
        <v>1068</v>
      </c>
      <c r="F47" s="8"/>
      <c r="G47" s="50"/>
      <c r="H47" s="50" t="s">
        <v>1713</v>
      </c>
    </row>
    <row r="48" spans="1:8" x14ac:dyDescent="0.25">
      <c r="A48" s="50" t="s">
        <v>1460</v>
      </c>
      <c r="B48" s="50" t="s">
        <v>225</v>
      </c>
      <c r="C48" s="50" t="s">
        <v>395</v>
      </c>
      <c r="D48" s="8" t="s">
        <v>2991</v>
      </c>
      <c r="E48" s="50" t="s">
        <v>1068</v>
      </c>
      <c r="F48" s="8"/>
      <c r="G48" s="50"/>
      <c r="H48" s="50" t="s">
        <v>1476</v>
      </c>
    </row>
    <row r="49" spans="1:8" x14ac:dyDescent="0.25">
      <c r="A49" s="50" t="s">
        <v>1460</v>
      </c>
      <c r="B49" s="50" t="s">
        <v>225</v>
      </c>
      <c r="C49" s="50" t="s">
        <v>395</v>
      </c>
      <c r="D49" s="8" t="s">
        <v>2992</v>
      </c>
      <c r="E49" s="50" t="s">
        <v>1068</v>
      </c>
      <c r="F49" s="8"/>
      <c r="G49" s="50"/>
      <c r="H49" s="50" t="s">
        <v>1488</v>
      </c>
    </row>
    <row r="50" spans="1:8" ht="51" x14ac:dyDescent="0.25">
      <c r="A50" s="50" t="s">
        <v>1460</v>
      </c>
      <c r="B50" s="50" t="s">
        <v>225</v>
      </c>
      <c r="C50" s="50" t="s">
        <v>443</v>
      </c>
      <c r="D50" s="8" t="s">
        <v>2993</v>
      </c>
      <c r="E50" s="50" t="s">
        <v>1068</v>
      </c>
      <c r="F50" s="8"/>
      <c r="G50" s="50"/>
      <c r="H50" s="50" t="s">
        <v>1518</v>
      </c>
    </row>
    <row r="51" spans="1:8" ht="51" x14ac:dyDescent="0.25">
      <c r="A51" s="50" t="s">
        <v>1460</v>
      </c>
      <c r="B51" s="50" t="s">
        <v>225</v>
      </c>
      <c r="C51" s="50" t="s">
        <v>423</v>
      </c>
      <c r="D51" s="8" t="s">
        <v>2994</v>
      </c>
      <c r="E51" s="50" t="s">
        <v>1068</v>
      </c>
      <c r="F51" s="8"/>
      <c r="G51" s="50"/>
      <c r="H51" s="50" t="s">
        <v>1525</v>
      </c>
    </row>
    <row r="52" spans="1:8" x14ac:dyDescent="0.25">
      <c r="A52" s="50" t="s">
        <v>1460</v>
      </c>
      <c r="B52" s="50" t="s">
        <v>225</v>
      </c>
      <c r="C52" s="50" t="s">
        <v>395</v>
      </c>
      <c r="D52" s="8" t="s">
        <v>2995</v>
      </c>
      <c r="E52" s="50" t="s">
        <v>1068</v>
      </c>
      <c r="F52" s="8"/>
      <c r="G52" s="50"/>
      <c r="H52" s="50" t="s">
        <v>1716</v>
      </c>
    </row>
    <row r="53" spans="1:8" x14ac:dyDescent="0.25">
      <c r="A53" s="50" t="s">
        <v>1836</v>
      </c>
      <c r="B53" s="50" t="s">
        <v>226</v>
      </c>
      <c r="C53" s="50" t="s">
        <v>448</v>
      </c>
      <c r="D53" s="8" t="s">
        <v>2996</v>
      </c>
      <c r="E53" s="50" t="s">
        <v>1068</v>
      </c>
      <c r="F53" s="8"/>
      <c r="G53" s="50"/>
      <c r="H53" s="50" t="s">
        <v>1881</v>
      </c>
    </row>
    <row r="54" spans="1:8" x14ac:dyDescent="0.25">
      <c r="A54" s="50" t="s">
        <v>1836</v>
      </c>
      <c r="B54" s="50" t="s">
        <v>226</v>
      </c>
      <c r="C54" s="50" t="s">
        <v>509</v>
      </c>
      <c r="D54" s="8" t="s">
        <v>2997</v>
      </c>
      <c r="E54" s="50" t="s">
        <v>1068</v>
      </c>
      <c r="F54" s="8"/>
      <c r="G54" s="50"/>
      <c r="H54" s="50" t="s">
        <v>1881</v>
      </c>
    </row>
    <row r="55" spans="1:8" x14ac:dyDescent="0.25">
      <c r="A55" s="50" t="s">
        <v>1836</v>
      </c>
      <c r="B55" s="50" t="s">
        <v>226</v>
      </c>
      <c r="C55" s="50" t="s">
        <v>395</v>
      </c>
      <c r="D55" s="8" t="s">
        <v>2998</v>
      </c>
      <c r="E55" s="50" t="s">
        <v>1068</v>
      </c>
      <c r="F55" s="8"/>
      <c r="G55" s="50"/>
      <c r="H55" s="50" t="s">
        <v>1881</v>
      </c>
    </row>
    <row r="56" spans="1:8" x14ac:dyDescent="0.25">
      <c r="A56" s="50" t="s">
        <v>1836</v>
      </c>
      <c r="B56" s="50" t="s">
        <v>226</v>
      </c>
      <c r="C56" s="50" t="s">
        <v>395</v>
      </c>
      <c r="D56" s="8" t="s">
        <v>2999</v>
      </c>
      <c r="E56" s="50" t="s">
        <v>1068</v>
      </c>
      <c r="F56" s="8"/>
      <c r="G56" s="50"/>
      <c r="H56" s="50" t="s">
        <v>1881</v>
      </c>
    </row>
    <row r="57" spans="1:8" x14ac:dyDescent="0.25">
      <c r="A57" s="50" t="s">
        <v>1836</v>
      </c>
      <c r="B57" s="50" t="s">
        <v>226</v>
      </c>
      <c r="C57" s="50" t="s">
        <v>509</v>
      </c>
      <c r="D57" s="8" t="s">
        <v>3000</v>
      </c>
      <c r="E57" s="50" t="s">
        <v>1068</v>
      </c>
      <c r="F57" s="8"/>
      <c r="G57" s="50"/>
      <c r="H57" s="50" t="s">
        <v>1881</v>
      </c>
    </row>
    <row r="58" spans="1:8" x14ac:dyDescent="0.25">
      <c r="A58" s="50" t="s">
        <v>1836</v>
      </c>
      <c r="B58" s="50" t="s">
        <v>226</v>
      </c>
      <c r="C58" s="50" t="s">
        <v>395</v>
      </c>
      <c r="D58" s="8" t="s">
        <v>3001</v>
      </c>
      <c r="E58" s="50" t="s">
        <v>1068</v>
      </c>
      <c r="F58" s="8"/>
      <c r="G58" s="50"/>
      <c r="H58" s="50" t="s">
        <v>1881</v>
      </c>
    </row>
    <row r="59" spans="1:8" x14ac:dyDescent="0.25">
      <c r="A59" s="50" t="s">
        <v>1836</v>
      </c>
      <c r="B59" s="50" t="s">
        <v>226</v>
      </c>
      <c r="C59" s="50" t="s">
        <v>400</v>
      </c>
      <c r="D59" s="8" t="s">
        <v>3002</v>
      </c>
      <c r="E59" s="50" t="s">
        <v>1068</v>
      </c>
      <c r="F59" s="8"/>
      <c r="G59" s="50"/>
      <c r="H59" s="50" t="s">
        <v>1881</v>
      </c>
    </row>
    <row r="60" spans="1:8" x14ac:dyDescent="0.25">
      <c r="A60" s="50" t="s">
        <v>1836</v>
      </c>
      <c r="B60" s="50" t="s">
        <v>226</v>
      </c>
      <c r="C60" s="50" t="s">
        <v>448</v>
      </c>
      <c r="D60" s="8" t="s">
        <v>3003</v>
      </c>
      <c r="E60" s="50" t="s">
        <v>1068</v>
      </c>
      <c r="F60" s="8"/>
      <c r="G60" s="50"/>
      <c r="H60" s="50" t="s">
        <v>1881</v>
      </c>
    </row>
    <row r="61" spans="1:8" x14ac:dyDescent="0.25">
      <c r="A61" s="50" t="s">
        <v>1836</v>
      </c>
      <c r="B61" s="50" t="s">
        <v>226</v>
      </c>
      <c r="C61" s="50" t="s">
        <v>395</v>
      </c>
      <c r="D61" s="8" t="s">
        <v>3004</v>
      </c>
      <c r="E61" s="50" t="s">
        <v>1068</v>
      </c>
      <c r="F61" s="8"/>
      <c r="G61" s="50"/>
      <c r="H61" s="50" t="s">
        <v>1881</v>
      </c>
    </row>
    <row r="62" spans="1:8" x14ac:dyDescent="0.25">
      <c r="A62" s="50" t="s">
        <v>1836</v>
      </c>
      <c r="B62" s="50" t="s">
        <v>226</v>
      </c>
      <c r="C62" s="50" t="s">
        <v>448</v>
      </c>
      <c r="D62" s="8" t="s">
        <v>3005</v>
      </c>
      <c r="E62" s="50" t="s">
        <v>1068</v>
      </c>
      <c r="F62" s="8"/>
      <c r="G62" s="50"/>
      <c r="H62" s="50" t="s">
        <v>1881</v>
      </c>
    </row>
    <row r="63" spans="1:8" x14ac:dyDescent="0.25">
      <c r="A63" s="50" t="s">
        <v>1836</v>
      </c>
      <c r="B63" s="50" t="s">
        <v>226</v>
      </c>
      <c r="C63" s="50" t="s">
        <v>448</v>
      </c>
      <c r="D63" s="8" t="s">
        <v>3006</v>
      </c>
      <c r="E63" s="50" t="s">
        <v>1068</v>
      </c>
      <c r="F63" s="8"/>
      <c r="G63" s="50"/>
      <c r="H63" s="50" t="s">
        <v>1881</v>
      </c>
    </row>
    <row r="64" spans="1:8" x14ac:dyDescent="0.25">
      <c r="A64" s="50" t="s">
        <v>1836</v>
      </c>
      <c r="B64" s="50" t="s">
        <v>226</v>
      </c>
      <c r="C64" s="50" t="s">
        <v>448</v>
      </c>
      <c r="D64" s="8" t="s">
        <v>3007</v>
      </c>
      <c r="E64" s="50" t="s">
        <v>1068</v>
      </c>
      <c r="F64" s="8"/>
      <c r="G64" s="50"/>
      <c r="H64" s="50" t="s">
        <v>1881</v>
      </c>
    </row>
    <row r="65" spans="1:8" x14ac:dyDescent="0.25">
      <c r="A65" s="50" t="s">
        <v>1836</v>
      </c>
      <c r="B65" s="50" t="s">
        <v>226</v>
      </c>
      <c r="C65" s="50" t="s">
        <v>448</v>
      </c>
      <c r="D65" s="8" t="s">
        <v>3008</v>
      </c>
      <c r="E65" s="50" t="s">
        <v>1068</v>
      </c>
      <c r="F65" s="8"/>
      <c r="G65" s="50"/>
      <c r="H65" s="50" t="s">
        <v>1881</v>
      </c>
    </row>
    <row r="66" spans="1:8" x14ac:dyDescent="0.25">
      <c r="A66" s="50" t="s">
        <v>1836</v>
      </c>
      <c r="B66" s="50" t="s">
        <v>226</v>
      </c>
      <c r="C66" s="50" t="s">
        <v>509</v>
      </c>
      <c r="D66" s="8" t="s">
        <v>2970</v>
      </c>
      <c r="E66" s="50" t="s">
        <v>1068</v>
      </c>
      <c r="F66" s="8"/>
      <c r="G66" s="50"/>
      <c r="H66" s="50" t="s">
        <v>1881</v>
      </c>
    </row>
    <row r="67" spans="1:8" x14ac:dyDescent="0.25">
      <c r="A67" s="50" t="s">
        <v>1836</v>
      </c>
      <c r="B67" s="50" t="s">
        <v>226</v>
      </c>
      <c r="C67" s="50" t="s">
        <v>395</v>
      </c>
      <c r="D67" s="8" t="s">
        <v>3009</v>
      </c>
      <c r="E67" s="50" t="s">
        <v>1068</v>
      </c>
      <c r="F67" s="8"/>
      <c r="G67" s="50"/>
      <c r="H67" s="50" t="s">
        <v>1881</v>
      </c>
    </row>
    <row r="68" spans="1:8" x14ac:dyDescent="0.25">
      <c r="A68" s="50" t="s">
        <v>1836</v>
      </c>
      <c r="B68" s="50" t="s">
        <v>226</v>
      </c>
      <c r="C68" s="50" t="s">
        <v>509</v>
      </c>
      <c r="D68" s="8" t="s">
        <v>3010</v>
      </c>
      <c r="E68" s="50" t="s">
        <v>1068</v>
      </c>
      <c r="F68" s="8"/>
      <c r="G68" s="50"/>
      <c r="H68" s="50" t="s">
        <v>2144</v>
      </c>
    </row>
    <row r="69" spans="1:8" x14ac:dyDescent="0.25">
      <c r="A69" s="50" t="s">
        <v>1836</v>
      </c>
      <c r="B69" s="50" t="s">
        <v>226</v>
      </c>
      <c r="C69" s="50" t="s">
        <v>509</v>
      </c>
      <c r="D69" s="8" t="s">
        <v>2955</v>
      </c>
      <c r="E69" s="50" t="s">
        <v>1068</v>
      </c>
      <c r="F69" s="8"/>
      <c r="G69" s="50"/>
      <c r="H69" s="50" t="s">
        <v>2144</v>
      </c>
    </row>
    <row r="70" spans="1:8" x14ac:dyDescent="0.25">
      <c r="A70" s="50" t="s">
        <v>1836</v>
      </c>
      <c r="B70" s="50" t="s">
        <v>226</v>
      </c>
      <c r="C70" s="50" t="s">
        <v>509</v>
      </c>
      <c r="D70" s="8" t="s">
        <v>2955</v>
      </c>
      <c r="E70" s="50" t="s">
        <v>1068</v>
      </c>
      <c r="F70" s="8"/>
      <c r="G70" s="50"/>
      <c r="H70" s="50" t="s">
        <v>2144</v>
      </c>
    </row>
    <row r="71" spans="1:8" x14ac:dyDescent="0.25">
      <c r="A71" s="50" t="s">
        <v>1836</v>
      </c>
      <c r="B71" s="50" t="s">
        <v>226</v>
      </c>
      <c r="C71" s="50" t="s">
        <v>509</v>
      </c>
      <c r="D71" s="8" t="s">
        <v>3010</v>
      </c>
      <c r="E71" s="50" t="s">
        <v>1068</v>
      </c>
      <c r="F71" s="8"/>
      <c r="G71" s="50"/>
      <c r="H71" s="50" t="s">
        <v>2144</v>
      </c>
    </row>
    <row r="72" spans="1:8" x14ac:dyDescent="0.25">
      <c r="A72" s="50" t="s">
        <v>1836</v>
      </c>
      <c r="B72" s="50" t="s">
        <v>226</v>
      </c>
      <c r="C72" s="50" t="s">
        <v>509</v>
      </c>
      <c r="D72" s="8" t="s">
        <v>3011</v>
      </c>
      <c r="E72" s="50" t="s">
        <v>1068</v>
      </c>
      <c r="F72" s="8"/>
      <c r="G72" s="50"/>
      <c r="H72" s="50" t="s">
        <v>2144</v>
      </c>
    </row>
    <row r="73" spans="1:8" x14ac:dyDescent="0.25">
      <c r="A73" s="50" t="s">
        <v>1836</v>
      </c>
      <c r="B73" s="50" t="s">
        <v>226</v>
      </c>
      <c r="C73" s="50" t="s">
        <v>448</v>
      </c>
      <c r="D73" s="8" t="s">
        <v>3012</v>
      </c>
      <c r="E73" s="50" t="s">
        <v>1068</v>
      </c>
      <c r="F73" s="8"/>
      <c r="G73" s="50"/>
      <c r="H73" s="50" t="s">
        <v>2144</v>
      </c>
    </row>
    <row r="74" spans="1:8" x14ac:dyDescent="0.25">
      <c r="A74" s="50" t="s">
        <v>1836</v>
      </c>
      <c r="B74" s="50" t="s">
        <v>226</v>
      </c>
      <c r="C74" s="50" t="s">
        <v>395</v>
      </c>
      <c r="D74" s="8" t="s">
        <v>3013</v>
      </c>
      <c r="E74" s="50" t="s">
        <v>1068</v>
      </c>
      <c r="F74" s="8"/>
      <c r="G74" s="50"/>
      <c r="H74" s="50" t="s">
        <v>2144</v>
      </c>
    </row>
    <row r="75" spans="1:8" x14ac:dyDescent="0.25">
      <c r="A75" s="50" t="s">
        <v>1836</v>
      </c>
      <c r="B75" s="50" t="s">
        <v>226</v>
      </c>
      <c r="C75" s="50" t="s">
        <v>395</v>
      </c>
      <c r="D75" s="8" t="s">
        <v>3014</v>
      </c>
      <c r="E75" s="50" t="s">
        <v>1068</v>
      </c>
      <c r="F75" s="8"/>
      <c r="G75" s="50"/>
      <c r="H75" s="50" t="s">
        <v>2144</v>
      </c>
    </row>
    <row r="76" spans="1:8" x14ac:dyDescent="0.25">
      <c r="A76" s="50" t="s">
        <v>1836</v>
      </c>
      <c r="B76" s="50" t="s">
        <v>226</v>
      </c>
      <c r="C76" s="50" t="s">
        <v>395</v>
      </c>
      <c r="D76" s="8" t="s">
        <v>3015</v>
      </c>
      <c r="E76" s="50" t="s">
        <v>1068</v>
      </c>
      <c r="F76" s="8"/>
      <c r="G76" s="50"/>
      <c r="H76" s="50" t="s">
        <v>2144</v>
      </c>
    </row>
    <row r="77" spans="1:8" x14ac:dyDescent="0.25">
      <c r="A77" s="50" t="s">
        <v>1836</v>
      </c>
      <c r="B77" s="50" t="s">
        <v>226</v>
      </c>
      <c r="C77" s="50" t="s">
        <v>448</v>
      </c>
      <c r="D77" s="8" t="s">
        <v>3016</v>
      </c>
      <c r="E77" s="50" t="s">
        <v>1068</v>
      </c>
      <c r="F77" s="8"/>
      <c r="G77" s="50"/>
      <c r="H77" s="50" t="s">
        <v>2144</v>
      </c>
    </row>
    <row r="78" spans="1:8" x14ac:dyDescent="0.25">
      <c r="A78" s="50" t="s">
        <v>1836</v>
      </c>
      <c r="B78" s="50" t="s">
        <v>226</v>
      </c>
      <c r="C78" s="50" t="s">
        <v>448</v>
      </c>
      <c r="D78" s="8" t="s">
        <v>3017</v>
      </c>
      <c r="E78" s="50" t="s">
        <v>1068</v>
      </c>
      <c r="F78" s="8"/>
      <c r="G78" s="50"/>
      <c r="H78" s="50" t="s">
        <v>2144</v>
      </c>
    </row>
    <row r="79" spans="1:8" x14ac:dyDescent="0.25">
      <c r="A79" s="50" t="s">
        <v>1836</v>
      </c>
      <c r="B79" s="50" t="s">
        <v>226</v>
      </c>
      <c r="C79" s="50" t="s">
        <v>448</v>
      </c>
      <c r="D79" s="8" t="s">
        <v>3018</v>
      </c>
      <c r="E79" s="50" t="s">
        <v>1068</v>
      </c>
      <c r="F79" s="8"/>
      <c r="G79" s="50"/>
      <c r="H79" s="50" t="s">
        <v>2144</v>
      </c>
    </row>
    <row r="80" spans="1:8" x14ac:dyDescent="0.25">
      <c r="A80" s="50" t="s">
        <v>1836</v>
      </c>
      <c r="B80" s="50" t="s">
        <v>226</v>
      </c>
      <c r="C80" s="50" t="s">
        <v>509</v>
      </c>
      <c r="D80" s="8"/>
      <c r="E80" s="50" t="s">
        <v>1068</v>
      </c>
      <c r="F80" s="8"/>
      <c r="G80" s="50"/>
      <c r="H80" s="50" t="s">
        <v>2144</v>
      </c>
    </row>
    <row r="81" spans="1:8" x14ac:dyDescent="0.25">
      <c r="A81" s="50" t="s">
        <v>1836</v>
      </c>
      <c r="B81" s="50" t="s">
        <v>226</v>
      </c>
      <c r="C81" s="50" t="s">
        <v>395</v>
      </c>
      <c r="D81" s="8" t="s">
        <v>3019</v>
      </c>
      <c r="E81" s="50" t="s">
        <v>1068</v>
      </c>
      <c r="F81" s="8"/>
      <c r="G81" s="50"/>
      <c r="H81" s="50" t="s">
        <v>2144</v>
      </c>
    </row>
    <row r="82" spans="1:8" x14ac:dyDescent="0.25">
      <c r="A82" s="50" t="s">
        <v>1836</v>
      </c>
      <c r="B82" s="50" t="s">
        <v>226</v>
      </c>
      <c r="C82" s="50" t="s">
        <v>448</v>
      </c>
      <c r="D82" s="8" t="s">
        <v>3020</v>
      </c>
      <c r="E82" s="50" t="s">
        <v>1068</v>
      </c>
      <c r="F82" s="8"/>
      <c r="G82" s="50"/>
      <c r="H82" s="50" t="s">
        <v>2144</v>
      </c>
    </row>
    <row r="83" spans="1:8" x14ac:dyDescent="0.25">
      <c r="A83" s="50" t="s">
        <v>1836</v>
      </c>
      <c r="B83" s="50" t="s">
        <v>226</v>
      </c>
      <c r="C83" s="50" t="s">
        <v>395</v>
      </c>
      <c r="D83" s="8" t="s">
        <v>3021</v>
      </c>
      <c r="E83" s="50" t="s">
        <v>1068</v>
      </c>
      <c r="F83" s="8"/>
      <c r="G83" s="50"/>
      <c r="H83" s="50" t="s">
        <v>1883</v>
      </c>
    </row>
    <row r="84" spans="1:8" x14ac:dyDescent="0.25">
      <c r="A84" s="50" t="s">
        <v>1836</v>
      </c>
      <c r="B84" s="50" t="s">
        <v>226</v>
      </c>
      <c r="C84" s="50" t="s">
        <v>395</v>
      </c>
      <c r="D84" s="8" t="s">
        <v>3022</v>
      </c>
      <c r="E84" s="50" t="s">
        <v>1068</v>
      </c>
      <c r="F84" s="8"/>
      <c r="G84" s="50"/>
      <c r="H84" s="50" t="s">
        <v>1883</v>
      </c>
    </row>
    <row r="85" spans="1:8" x14ac:dyDescent="0.25">
      <c r="A85" s="50" t="s">
        <v>1836</v>
      </c>
      <c r="B85" s="50" t="s">
        <v>226</v>
      </c>
      <c r="C85" s="50" t="s">
        <v>509</v>
      </c>
      <c r="D85" s="8" t="s">
        <v>2975</v>
      </c>
      <c r="E85" s="50" t="s">
        <v>1068</v>
      </c>
      <c r="F85" s="8"/>
      <c r="G85" s="50"/>
      <c r="H85" s="50" t="s">
        <v>1883</v>
      </c>
    </row>
    <row r="86" spans="1:8" x14ac:dyDescent="0.25">
      <c r="A86" s="50" t="s">
        <v>1836</v>
      </c>
      <c r="B86" s="50" t="s">
        <v>226</v>
      </c>
      <c r="C86" s="50" t="s">
        <v>395</v>
      </c>
      <c r="D86" s="8" t="s">
        <v>3021</v>
      </c>
      <c r="E86" s="50" t="s">
        <v>1068</v>
      </c>
      <c r="F86" s="8"/>
      <c r="G86" s="50"/>
      <c r="H86" s="50" t="s">
        <v>1883</v>
      </c>
    </row>
    <row r="87" spans="1:8" x14ac:dyDescent="0.25">
      <c r="A87" s="50" t="s">
        <v>1836</v>
      </c>
      <c r="B87" s="50" t="s">
        <v>226</v>
      </c>
      <c r="C87" s="50" t="s">
        <v>395</v>
      </c>
      <c r="D87" s="8" t="s">
        <v>3023</v>
      </c>
      <c r="E87" s="50" t="s">
        <v>1068</v>
      </c>
      <c r="F87" s="8"/>
      <c r="G87" s="50"/>
      <c r="H87" s="50" t="s">
        <v>1883</v>
      </c>
    </row>
    <row r="88" spans="1:8" x14ac:dyDescent="0.25">
      <c r="A88" s="50" t="s">
        <v>1836</v>
      </c>
      <c r="B88" s="50" t="s">
        <v>226</v>
      </c>
      <c r="C88" s="50" t="s">
        <v>448</v>
      </c>
      <c r="D88" s="8" t="s">
        <v>76</v>
      </c>
      <c r="E88" s="50" t="s">
        <v>1068</v>
      </c>
      <c r="F88" s="8"/>
      <c r="G88" s="50"/>
      <c r="H88" s="50" t="s">
        <v>1883</v>
      </c>
    </row>
    <row r="89" spans="1:8" x14ac:dyDescent="0.25">
      <c r="A89" s="50" t="s">
        <v>1836</v>
      </c>
      <c r="B89" s="50" t="s">
        <v>226</v>
      </c>
      <c r="C89" s="50" t="s">
        <v>395</v>
      </c>
      <c r="D89" s="8" t="s">
        <v>3024</v>
      </c>
      <c r="E89" s="50" t="s">
        <v>1068</v>
      </c>
      <c r="F89" s="8"/>
      <c r="G89" s="50"/>
      <c r="H89" s="50" t="s">
        <v>1883</v>
      </c>
    </row>
    <row r="90" spans="1:8" x14ac:dyDescent="0.25">
      <c r="A90" s="50" t="s">
        <v>1836</v>
      </c>
      <c r="B90" s="50" t="s">
        <v>226</v>
      </c>
      <c r="C90" s="50" t="s">
        <v>395</v>
      </c>
      <c r="D90" s="8" t="s">
        <v>3025</v>
      </c>
      <c r="E90" s="50" t="s">
        <v>1068</v>
      </c>
      <c r="F90" s="8"/>
      <c r="G90" s="50"/>
      <c r="H90" s="50" t="s">
        <v>1883</v>
      </c>
    </row>
    <row r="91" spans="1:8" x14ac:dyDescent="0.25">
      <c r="A91" s="50" t="s">
        <v>1836</v>
      </c>
      <c r="B91" s="50" t="s">
        <v>226</v>
      </c>
      <c r="C91" s="50" t="s">
        <v>509</v>
      </c>
      <c r="D91" s="8" t="s">
        <v>3026</v>
      </c>
      <c r="E91" s="50" t="s">
        <v>1068</v>
      </c>
      <c r="F91" s="8"/>
      <c r="G91" s="50"/>
      <c r="H91" s="50" t="s">
        <v>1883</v>
      </c>
    </row>
    <row r="92" spans="1:8" x14ac:dyDescent="0.25">
      <c r="A92" s="50" t="s">
        <v>1836</v>
      </c>
      <c r="B92" s="50" t="s">
        <v>226</v>
      </c>
      <c r="C92" s="50" t="s">
        <v>411</v>
      </c>
      <c r="D92" s="8" t="s">
        <v>3027</v>
      </c>
      <c r="E92" s="50" t="s">
        <v>1068</v>
      </c>
      <c r="F92" s="8"/>
      <c r="G92" s="50"/>
      <c r="H92" s="50" t="s">
        <v>1883</v>
      </c>
    </row>
    <row r="93" spans="1:8" x14ac:dyDescent="0.25">
      <c r="A93" s="50" t="s">
        <v>1836</v>
      </c>
      <c r="B93" s="50" t="s">
        <v>226</v>
      </c>
      <c r="C93" s="50" t="s">
        <v>411</v>
      </c>
      <c r="D93" s="8" t="s">
        <v>3028</v>
      </c>
      <c r="E93" s="50" t="s">
        <v>1068</v>
      </c>
      <c r="F93" s="8"/>
      <c r="G93" s="50"/>
      <c r="H93" s="50" t="s">
        <v>1883</v>
      </c>
    </row>
    <row r="94" spans="1:8" ht="38.25" x14ac:dyDescent="0.25">
      <c r="A94" s="50" t="s">
        <v>1836</v>
      </c>
      <c r="B94" s="50" t="s">
        <v>226</v>
      </c>
      <c r="C94" s="50" t="s">
        <v>411</v>
      </c>
      <c r="D94" s="8" t="s">
        <v>3029</v>
      </c>
      <c r="E94" s="50" t="s">
        <v>1068</v>
      </c>
      <c r="F94" s="8"/>
      <c r="G94" s="50"/>
      <c r="H94" s="50" t="s">
        <v>1883</v>
      </c>
    </row>
    <row r="95" spans="1:8" ht="38.25" x14ac:dyDescent="0.25">
      <c r="A95" s="50" t="s">
        <v>1836</v>
      </c>
      <c r="B95" s="50" t="s">
        <v>226</v>
      </c>
      <c r="C95" s="50" t="s">
        <v>448</v>
      </c>
      <c r="D95" s="8" t="s">
        <v>3030</v>
      </c>
      <c r="E95" s="50" t="s">
        <v>1068</v>
      </c>
      <c r="F95" s="8"/>
      <c r="G95" s="50"/>
      <c r="H95" s="50" t="s">
        <v>1883</v>
      </c>
    </row>
    <row r="96" spans="1:8" ht="25.5" x14ac:dyDescent="0.25">
      <c r="A96" s="50" t="s">
        <v>1836</v>
      </c>
      <c r="B96" s="50" t="s">
        <v>226</v>
      </c>
      <c r="C96" s="50" t="s">
        <v>411</v>
      </c>
      <c r="D96" s="8" t="s">
        <v>3031</v>
      </c>
      <c r="E96" s="50" t="s">
        <v>1067</v>
      </c>
      <c r="F96" s="8" t="s">
        <v>3032</v>
      </c>
      <c r="G96" s="50">
        <v>15.6</v>
      </c>
      <c r="H96" s="50" t="s">
        <v>1883</v>
      </c>
    </row>
    <row r="97" spans="1:8" x14ac:dyDescent="0.25">
      <c r="A97" s="50" t="s">
        <v>1836</v>
      </c>
      <c r="B97" s="50" t="s">
        <v>226</v>
      </c>
      <c r="C97" s="50" t="s">
        <v>448</v>
      </c>
      <c r="D97" s="8" t="s">
        <v>3033</v>
      </c>
      <c r="E97" s="50" t="s">
        <v>1068</v>
      </c>
      <c r="F97" s="8"/>
      <c r="G97" s="50"/>
      <c r="H97" s="50" t="s">
        <v>1883</v>
      </c>
    </row>
    <row r="98" spans="1:8" x14ac:dyDescent="0.25">
      <c r="A98" s="50" t="s">
        <v>1836</v>
      </c>
      <c r="B98" s="50" t="s">
        <v>226</v>
      </c>
      <c r="C98" s="50" t="s">
        <v>395</v>
      </c>
      <c r="D98" s="8" t="s">
        <v>3034</v>
      </c>
      <c r="E98" s="50" t="s">
        <v>1068</v>
      </c>
      <c r="F98" s="8"/>
      <c r="G98" s="50"/>
      <c r="H98" s="50" t="s">
        <v>1996</v>
      </c>
    </row>
    <row r="99" spans="1:8" x14ac:dyDescent="0.25">
      <c r="A99" s="50" t="s">
        <v>1836</v>
      </c>
      <c r="B99" s="50" t="s">
        <v>226</v>
      </c>
      <c r="C99" s="50" t="s">
        <v>395</v>
      </c>
      <c r="D99" s="8" t="s">
        <v>3035</v>
      </c>
      <c r="E99" s="50" t="s">
        <v>1068</v>
      </c>
      <c r="F99" s="8"/>
      <c r="G99" s="50"/>
      <c r="H99" s="50" t="s">
        <v>1996</v>
      </c>
    </row>
    <row r="100" spans="1:8" x14ac:dyDescent="0.25">
      <c r="A100" s="50" t="s">
        <v>1836</v>
      </c>
      <c r="B100" s="50" t="s">
        <v>226</v>
      </c>
      <c r="C100" s="50" t="s">
        <v>395</v>
      </c>
      <c r="D100" s="8" t="s">
        <v>3036</v>
      </c>
      <c r="E100" s="50" t="s">
        <v>1068</v>
      </c>
      <c r="F100" s="8"/>
      <c r="G100" s="50"/>
      <c r="H100" s="50" t="s">
        <v>1996</v>
      </c>
    </row>
    <row r="101" spans="1:8" x14ac:dyDescent="0.25">
      <c r="A101" s="50" t="s">
        <v>1836</v>
      </c>
      <c r="B101" s="50" t="s">
        <v>226</v>
      </c>
      <c r="C101" s="50" t="s">
        <v>395</v>
      </c>
      <c r="D101" s="8" t="s">
        <v>3021</v>
      </c>
      <c r="E101" s="50" t="s">
        <v>1068</v>
      </c>
      <c r="F101" s="8"/>
      <c r="G101" s="50"/>
      <c r="H101" s="50" t="s">
        <v>1996</v>
      </c>
    </row>
    <row r="102" spans="1:8" x14ac:dyDescent="0.25">
      <c r="A102" s="50" t="s">
        <v>1836</v>
      </c>
      <c r="B102" s="50" t="s">
        <v>226</v>
      </c>
      <c r="C102" s="50" t="s">
        <v>395</v>
      </c>
      <c r="D102" s="8" t="s">
        <v>3037</v>
      </c>
      <c r="E102" s="50" t="s">
        <v>1068</v>
      </c>
      <c r="F102" s="8"/>
      <c r="G102" s="50"/>
      <c r="H102" s="50" t="s">
        <v>1996</v>
      </c>
    </row>
    <row r="103" spans="1:8" x14ac:dyDescent="0.25">
      <c r="A103" s="50" t="s">
        <v>1836</v>
      </c>
      <c r="B103" s="50" t="s">
        <v>226</v>
      </c>
      <c r="C103" s="50" t="s">
        <v>448</v>
      </c>
      <c r="D103" s="8" t="s">
        <v>3038</v>
      </c>
      <c r="E103" s="50" t="s">
        <v>1068</v>
      </c>
      <c r="F103" s="8"/>
      <c r="G103" s="50"/>
      <c r="H103" s="50" t="s">
        <v>1996</v>
      </c>
    </row>
    <row r="104" spans="1:8" ht="51" x14ac:dyDescent="0.25">
      <c r="A104" s="50" t="s">
        <v>1836</v>
      </c>
      <c r="B104" s="50" t="s">
        <v>226</v>
      </c>
      <c r="C104" s="50" t="s">
        <v>417</v>
      </c>
      <c r="D104" s="8" t="s">
        <v>3039</v>
      </c>
      <c r="E104" s="50" t="s">
        <v>1068</v>
      </c>
      <c r="F104" s="8"/>
      <c r="G104" s="50"/>
      <c r="H104" s="50" t="s">
        <v>1996</v>
      </c>
    </row>
    <row r="105" spans="1:8" x14ac:dyDescent="0.25">
      <c r="A105" s="50" t="s">
        <v>1836</v>
      </c>
      <c r="B105" s="50" t="s">
        <v>226</v>
      </c>
      <c r="C105" s="50" t="s">
        <v>509</v>
      </c>
      <c r="D105" s="8" t="s">
        <v>3040</v>
      </c>
      <c r="E105" s="50" t="s">
        <v>1068</v>
      </c>
      <c r="F105" s="8"/>
      <c r="G105" s="50"/>
      <c r="H105" s="50" t="s">
        <v>1996</v>
      </c>
    </row>
    <row r="106" spans="1:8" x14ac:dyDescent="0.25">
      <c r="A106" s="50" t="s">
        <v>1836</v>
      </c>
      <c r="B106" s="50" t="s">
        <v>226</v>
      </c>
      <c r="C106" s="50" t="s">
        <v>448</v>
      </c>
      <c r="D106" s="8" t="s">
        <v>3041</v>
      </c>
      <c r="E106" s="50" t="s">
        <v>1068</v>
      </c>
      <c r="F106" s="8"/>
      <c r="G106" s="50"/>
      <c r="H106" s="50" t="s">
        <v>1996</v>
      </c>
    </row>
    <row r="107" spans="1:8" x14ac:dyDescent="0.25">
      <c r="A107" s="50" t="s">
        <v>1836</v>
      </c>
      <c r="B107" s="50" t="s">
        <v>226</v>
      </c>
      <c r="C107" s="50" t="s">
        <v>411</v>
      </c>
      <c r="D107" s="8" t="s">
        <v>3042</v>
      </c>
      <c r="E107" s="50" t="s">
        <v>1068</v>
      </c>
      <c r="F107" s="8"/>
      <c r="G107" s="50"/>
      <c r="H107" s="50" t="s">
        <v>1996</v>
      </c>
    </row>
    <row r="108" spans="1:8" ht="38.25" x14ac:dyDescent="0.25">
      <c r="A108" s="50" t="s">
        <v>1836</v>
      </c>
      <c r="B108" s="50" t="s">
        <v>226</v>
      </c>
      <c r="C108" s="50" t="s">
        <v>434</v>
      </c>
      <c r="D108" s="8" t="s">
        <v>3043</v>
      </c>
      <c r="E108" s="50" t="s">
        <v>1067</v>
      </c>
      <c r="F108" s="8" t="s">
        <v>3044</v>
      </c>
      <c r="G108" s="50">
        <v>4.9000000000000004</v>
      </c>
      <c r="H108" s="50" t="s">
        <v>1996</v>
      </c>
    </row>
    <row r="109" spans="1:8" ht="51" x14ac:dyDescent="0.25">
      <c r="A109" s="50" t="s">
        <v>1836</v>
      </c>
      <c r="B109" s="50" t="s">
        <v>226</v>
      </c>
      <c r="C109" s="50" t="s">
        <v>411</v>
      </c>
      <c r="D109" s="8" t="s">
        <v>3045</v>
      </c>
      <c r="E109" s="50" t="s">
        <v>1067</v>
      </c>
      <c r="F109" s="8" t="s">
        <v>3046</v>
      </c>
      <c r="G109" s="50">
        <v>31.5</v>
      </c>
      <c r="H109" s="50" t="s">
        <v>1996</v>
      </c>
    </row>
    <row r="110" spans="1:8" x14ac:dyDescent="0.25">
      <c r="A110" s="50" t="s">
        <v>1836</v>
      </c>
      <c r="B110" s="50" t="s">
        <v>226</v>
      </c>
      <c r="C110" s="50" t="s">
        <v>448</v>
      </c>
      <c r="D110" s="8" t="s">
        <v>3047</v>
      </c>
      <c r="E110" s="50" t="s">
        <v>1068</v>
      </c>
      <c r="F110" s="8"/>
      <c r="G110" s="50"/>
      <c r="H110" s="50" t="s">
        <v>1996</v>
      </c>
    </row>
    <row r="111" spans="1:8" x14ac:dyDescent="0.25">
      <c r="A111" s="50" t="s">
        <v>1836</v>
      </c>
      <c r="B111" s="50" t="s">
        <v>226</v>
      </c>
      <c r="C111" s="50" t="s">
        <v>448</v>
      </c>
      <c r="D111" s="8" t="s">
        <v>3048</v>
      </c>
      <c r="E111" s="50" t="s">
        <v>1068</v>
      </c>
      <c r="F111" s="8"/>
      <c r="G111" s="50"/>
      <c r="H111" s="50" t="s">
        <v>1996</v>
      </c>
    </row>
    <row r="112" spans="1:8" x14ac:dyDescent="0.25">
      <c r="A112" s="50" t="s">
        <v>1836</v>
      </c>
      <c r="B112" s="50" t="s">
        <v>226</v>
      </c>
      <c r="C112" s="50" t="s">
        <v>411</v>
      </c>
      <c r="D112" s="8" t="s">
        <v>3049</v>
      </c>
      <c r="E112" s="50" t="s">
        <v>1068</v>
      </c>
      <c r="F112" s="8"/>
      <c r="G112" s="50"/>
      <c r="H112" s="50" t="s">
        <v>1996</v>
      </c>
    </row>
    <row r="113" spans="1:8" x14ac:dyDescent="0.25">
      <c r="A113" s="50" t="s">
        <v>1836</v>
      </c>
      <c r="B113" s="50" t="s">
        <v>226</v>
      </c>
      <c r="C113" s="50" t="s">
        <v>509</v>
      </c>
      <c r="D113" s="8" t="s">
        <v>2985</v>
      </c>
      <c r="E113" s="50" t="s">
        <v>1068</v>
      </c>
      <c r="F113" s="8"/>
      <c r="G113" s="50"/>
      <c r="H113" s="50" t="s">
        <v>1981</v>
      </c>
    </row>
    <row r="114" spans="1:8" ht="25.5" x14ac:dyDescent="0.25">
      <c r="A114" s="50" t="s">
        <v>1836</v>
      </c>
      <c r="B114" s="50" t="s">
        <v>226</v>
      </c>
      <c r="C114" s="50" t="s">
        <v>395</v>
      </c>
      <c r="D114" s="8" t="s">
        <v>3050</v>
      </c>
      <c r="E114" s="50" t="s">
        <v>1068</v>
      </c>
      <c r="F114" s="8"/>
      <c r="G114" s="50"/>
      <c r="H114" s="50" t="s">
        <v>1981</v>
      </c>
    </row>
    <row r="115" spans="1:8" x14ac:dyDescent="0.25">
      <c r="A115" s="50" t="s">
        <v>1836</v>
      </c>
      <c r="B115" s="50" t="s">
        <v>226</v>
      </c>
      <c r="C115" s="50" t="s">
        <v>509</v>
      </c>
      <c r="D115" s="8" t="s">
        <v>2976</v>
      </c>
      <c r="E115" s="50" t="s">
        <v>1068</v>
      </c>
      <c r="F115" s="8"/>
      <c r="G115" s="50"/>
      <c r="H115" s="50" t="s">
        <v>1981</v>
      </c>
    </row>
    <row r="116" spans="1:8" x14ac:dyDescent="0.25">
      <c r="A116" s="50" t="s">
        <v>1836</v>
      </c>
      <c r="B116" s="50" t="s">
        <v>226</v>
      </c>
      <c r="C116" s="50" t="s">
        <v>509</v>
      </c>
      <c r="D116" s="8" t="s">
        <v>3051</v>
      </c>
      <c r="E116" s="50" t="s">
        <v>1068</v>
      </c>
      <c r="F116" s="8"/>
      <c r="G116" s="50"/>
      <c r="H116" s="50" t="s">
        <v>1981</v>
      </c>
    </row>
    <row r="117" spans="1:8" x14ac:dyDescent="0.25">
      <c r="A117" s="50" t="s">
        <v>1836</v>
      </c>
      <c r="B117" s="50" t="s">
        <v>226</v>
      </c>
      <c r="C117" s="50" t="s">
        <v>395</v>
      </c>
      <c r="D117" s="8" t="s">
        <v>3052</v>
      </c>
      <c r="E117" s="50" t="s">
        <v>1068</v>
      </c>
      <c r="F117" s="8"/>
      <c r="G117" s="50"/>
      <c r="H117" s="50" t="s">
        <v>1981</v>
      </c>
    </row>
    <row r="118" spans="1:8" x14ac:dyDescent="0.25">
      <c r="A118" s="50" t="s">
        <v>1836</v>
      </c>
      <c r="B118" s="50" t="s">
        <v>226</v>
      </c>
      <c r="C118" s="50" t="s">
        <v>448</v>
      </c>
      <c r="D118" s="8" t="s">
        <v>3053</v>
      </c>
      <c r="E118" s="50" t="s">
        <v>1068</v>
      </c>
      <c r="F118" s="8"/>
      <c r="G118" s="50"/>
      <c r="H118" s="50" t="s">
        <v>1981</v>
      </c>
    </row>
    <row r="119" spans="1:8" x14ac:dyDescent="0.25">
      <c r="A119" s="50" t="s">
        <v>1836</v>
      </c>
      <c r="B119" s="50" t="s">
        <v>226</v>
      </c>
      <c r="C119" s="50" t="s">
        <v>395</v>
      </c>
      <c r="D119" s="8" t="s">
        <v>3054</v>
      </c>
      <c r="E119" s="50" t="s">
        <v>1068</v>
      </c>
      <c r="F119" s="8"/>
      <c r="G119" s="50"/>
      <c r="H119" s="50" t="s">
        <v>1981</v>
      </c>
    </row>
    <row r="120" spans="1:8" x14ac:dyDescent="0.25">
      <c r="A120" s="50" t="s">
        <v>1836</v>
      </c>
      <c r="B120" s="50" t="s">
        <v>226</v>
      </c>
      <c r="C120" s="50" t="s">
        <v>395</v>
      </c>
      <c r="D120" s="8" t="s">
        <v>3055</v>
      </c>
      <c r="E120" s="50" t="s">
        <v>1068</v>
      </c>
      <c r="F120" s="8"/>
      <c r="G120" s="50"/>
      <c r="H120" s="50" t="s">
        <v>1981</v>
      </c>
    </row>
    <row r="121" spans="1:8" x14ac:dyDescent="0.25">
      <c r="A121" s="50" t="s">
        <v>1836</v>
      </c>
      <c r="B121" s="50" t="s">
        <v>226</v>
      </c>
      <c r="C121" s="50" t="s">
        <v>509</v>
      </c>
      <c r="D121" s="8" t="s">
        <v>3056</v>
      </c>
      <c r="E121" s="50" t="s">
        <v>1068</v>
      </c>
      <c r="F121" s="8"/>
      <c r="G121" s="50"/>
      <c r="H121" s="50" t="s">
        <v>1981</v>
      </c>
    </row>
    <row r="122" spans="1:8" x14ac:dyDescent="0.25">
      <c r="A122" s="50" t="s">
        <v>1836</v>
      </c>
      <c r="B122" s="50" t="s">
        <v>226</v>
      </c>
      <c r="C122" s="50" t="s">
        <v>395</v>
      </c>
      <c r="D122" s="8" t="s">
        <v>3057</v>
      </c>
      <c r="E122" s="50" t="s">
        <v>1068</v>
      </c>
      <c r="F122" s="8"/>
      <c r="G122" s="50"/>
      <c r="H122" s="50" t="s">
        <v>1981</v>
      </c>
    </row>
    <row r="123" spans="1:8" x14ac:dyDescent="0.25">
      <c r="A123" s="50" t="s">
        <v>1836</v>
      </c>
      <c r="B123" s="50" t="s">
        <v>226</v>
      </c>
      <c r="C123" s="50" t="s">
        <v>448</v>
      </c>
      <c r="D123" s="8" t="s">
        <v>3058</v>
      </c>
      <c r="E123" s="50" t="s">
        <v>1068</v>
      </c>
      <c r="F123" s="8"/>
      <c r="G123" s="50"/>
      <c r="H123" s="50" t="s">
        <v>1981</v>
      </c>
    </row>
    <row r="124" spans="1:8" x14ac:dyDescent="0.25">
      <c r="A124" s="50" t="s">
        <v>1836</v>
      </c>
      <c r="B124" s="50" t="s">
        <v>226</v>
      </c>
      <c r="C124" s="50" t="s">
        <v>509</v>
      </c>
      <c r="D124" s="8" t="s">
        <v>3059</v>
      </c>
      <c r="E124" s="50" t="s">
        <v>1068</v>
      </c>
      <c r="F124" s="8"/>
      <c r="G124" s="50"/>
      <c r="H124" s="50" t="s">
        <v>1981</v>
      </c>
    </row>
    <row r="125" spans="1:8" x14ac:dyDescent="0.25">
      <c r="A125" s="50" t="s">
        <v>1836</v>
      </c>
      <c r="B125" s="50" t="s">
        <v>226</v>
      </c>
      <c r="C125" s="50" t="s">
        <v>395</v>
      </c>
      <c r="D125" s="8" t="s">
        <v>3060</v>
      </c>
      <c r="E125" s="50" t="s">
        <v>1068</v>
      </c>
      <c r="F125" s="8"/>
      <c r="G125" s="50"/>
      <c r="H125" s="50" t="s">
        <v>2134</v>
      </c>
    </row>
    <row r="126" spans="1:8" x14ac:dyDescent="0.25">
      <c r="A126" s="50" t="s">
        <v>1836</v>
      </c>
      <c r="B126" s="50" t="s">
        <v>226</v>
      </c>
      <c r="C126" s="50" t="s">
        <v>395</v>
      </c>
      <c r="D126" s="8" t="s">
        <v>3061</v>
      </c>
      <c r="E126" s="50" t="s">
        <v>1068</v>
      </c>
      <c r="F126" s="8"/>
      <c r="G126" s="50"/>
      <c r="H126" s="50" t="s">
        <v>2134</v>
      </c>
    </row>
    <row r="127" spans="1:8" x14ac:dyDescent="0.25">
      <c r="A127" s="50" t="s">
        <v>1836</v>
      </c>
      <c r="B127" s="50" t="s">
        <v>226</v>
      </c>
      <c r="C127" s="50" t="s">
        <v>395</v>
      </c>
      <c r="D127" s="8" t="s">
        <v>3062</v>
      </c>
      <c r="E127" s="50" t="s">
        <v>1068</v>
      </c>
      <c r="F127" s="8"/>
      <c r="G127" s="50"/>
      <c r="H127" s="50" t="s">
        <v>2134</v>
      </c>
    </row>
    <row r="128" spans="1:8" x14ac:dyDescent="0.25">
      <c r="A128" s="50" t="s">
        <v>1836</v>
      </c>
      <c r="B128" s="50" t="s">
        <v>226</v>
      </c>
      <c r="C128" s="50" t="s">
        <v>395</v>
      </c>
      <c r="D128" s="8" t="s">
        <v>3063</v>
      </c>
      <c r="E128" s="50" t="s">
        <v>1068</v>
      </c>
      <c r="F128" s="8"/>
      <c r="G128" s="50"/>
      <c r="H128" s="50" t="s">
        <v>2134</v>
      </c>
    </row>
    <row r="129" spans="1:8" x14ac:dyDescent="0.25">
      <c r="A129" s="50" t="s">
        <v>1836</v>
      </c>
      <c r="B129" s="50" t="s">
        <v>226</v>
      </c>
      <c r="C129" s="50" t="s">
        <v>395</v>
      </c>
      <c r="D129" s="8" t="s">
        <v>3064</v>
      </c>
      <c r="E129" s="50" t="s">
        <v>1068</v>
      </c>
      <c r="F129" s="8"/>
      <c r="G129" s="50"/>
      <c r="H129" s="50" t="s">
        <v>2134</v>
      </c>
    </row>
    <row r="130" spans="1:8" x14ac:dyDescent="0.25">
      <c r="A130" s="50" t="s">
        <v>1836</v>
      </c>
      <c r="B130" s="50" t="s">
        <v>226</v>
      </c>
      <c r="C130" s="50" t="s">
        <v>395</v>
      </c>
      <c r="D130" s="8" t="s">
        <v>3065</v>
      </c>
      <c r="E130" s="50" t="s">
        <v>1068</v>
      </c>
      <c r="F130" s="8"/>
      <c r="G130" s="50"/>
      <c r="H130" s="50" t="s">
        <v>2134</v>
      </c>
    </row>
    <row r="131" spans="1:8" x14ac:dyDescent="0.25">
      <c r="A131" s="50" t="s">
        <v>1836</v>
      </c>
      <c r="B131" s="50" t="s">
        <v>226</v>
      </c>
      <c r="C131" s="50" t="s">
        <v>509</v>
      </c>
      <c r="D131" s="8" t="s">
        <v>3056</v>
      </c>
      <c r="E131" s="50" t="s">
        <v>1068</v>
      </c>
      <c r="F131" s="8"/>
      <c r="G131" s="50"/>
      <c r="H131" s="50" t="s">
        <v>2134</v>
      </c>
    </row>
    <row r="132" spans="1:8" x14ac:dyDescent="0.25">
      <c r="A132" s="50" t="s">
        <v>1836</v>
      </c>
      <c r="B132" s="50" t="s">
        <v>226</v>
      </c>
      <c r="C132" s="50" t="s">
        <v>395</v>
      </c>
      <c r="D132" s="8" t="s">
        <v>3066</v>
      </c>
      <c r="E132" s="50" t="s">
        <v>1068</v>
      </c>
      <c r="F132" s="8"/>
      <c r="G132" s="50"/>
      <c r="H132" s="50" t="s">
        <v>2134</v>
      </c>
    </row>
    <row r="133" spans="1:8" x14ac:dyDescent="0.25">
      <c r="A133" s="50" t="s">
        <v>1836</v>
      </c>
      <c r="B133" s="50" t="s">
        <v>226</v>
      </c>
      <c r="C133" s="50" t="s">
        <v>395</v>
      </c>
      <c r="D133" s="8" t="s">
        <v>3067</v>
      </c>
      <c r="E133" s="50" t="s">
        <v>1068</v>
      </c>
      <c r="F133" s="8"/>
      <c r="G133" s="50"/>
      <c r="H133" s="50" t="s">
        <v>2134</v>
      </c>
    </row>
    <row r="134" spans="1:8" x14ac:dyDescent="0.25">
      <c r="A134" s="50" t="s">
        <v>1836</v>
      </c>
      <c r="B134" s="50" t="s">
        <v>226</v>
      </c>
      <c r="C134" s="50" t="s">
        <v>448</v>
      </c>
      <c r="D134" s="8" t="s">
        <v>3068</v>
      </c>
      <c r="E134" s="50" t="s">
        <v>1068</v>
      </c>
      <c r="F134" s="8"/>
      <c r="G134" s="50"/>
      <c r="H134" s="50" t="s">
        <v>2134</v>
      </c>
    </row>
    <row r="135" spans="1:8" x14ac:dyDescent="0.25">
      <c r="A135" s="50" t="s">
        <v>1836</v>
      </c>
      <c r="B135" s="50" t="s">
        <v>226</v>
      </c>
      <c r="C135" s="50" t="s">
        <v>395</v>
      </c>
      <c r="D135" s="8" t="s">
        <v>3069</v>
      </c>
      <c r="E135" s="50" t="s">
        <v>1068</v>
      </c>
      <c r="F135" s="8"/>
      <c r="G135" s="50"/>
      <c r="H135" s="50" t="s">
        <v>2134</v>
      </c>
    </row>
    <row r="136" spans="1:8" x14ac:dyDescent="0.25">
      <c r="A136" s="50" t="s">
        <v>1836</v>
      </c>
      <c r="B136" s="50" t="s">
        <v>226</v>
      </c>
      <c r="C136" s="50" t="s">
        <v>395</v>
      </c>
      <c r="D136" s="8" t="s">
        <v>3070</v>
      </c>
      <c r="E136" s="50" t="s">
        <v>1068</v>
      </c>
      <c r="F136" s="8"/>
      <c r="G136" s="50"/>
      <c r="H136" s="50" t="s">
        <v>2134</v>
      </c>
    </row>
    <row r="137" spans="1:8" x14ac:dyDescent="0.25">
      <c r="A137" s="50" t="s">
        <v>1836</v>
      </c>
      <c r="B137" s="50" t="s">
        <v>226</v>
      </c>
      <c r="C137" s="50" t="s">
        <v>448</v>
      </c>
      <c r="D137" s="8" t="s">
        <v>3071</v>
      </c>
      <c r="E137" s="50" t="s">
        <v>1068</v>
      </c>
      <c r="F137" s="8"/>
      <c r="G137" s="50"/>
      <c r="H137" s="50" t="s">
        <v>2134</v>
      </c>
    </row>
    <row r="138" spans="1:8" x14ac:dyDescent="0.25">
      <c r="A138" s="50" t="s">
        <v>1836</v>
      </c>
      <c r="B138" s="50" t="s">
        <v>226</v>
      </c>
      <c r="C138" s="50" t="s">
        <v>395</v>
      </c>
      <c r="D138" s="8" t="s">
        <v>3072</v>
      </c>
      <c r="E138" s="50" t="s">
        <v>1068</v>
      </c>
      <c r="F138" s="8"/>
      <c r="G138" s="50"/>
      <c r="H138" s="50" t="s">
        <v>2134</v>
      </c>
    </row>
    <row r="139" spans="1:8" x14ac:dyDescent="0.25">
      <c r="A139" s="50" t="s">
        <v>1836</v>
      </c>
      <c r="B139" s="50" t="s">
        <v>226</v>
      </c>
      <c r="C139" s="50" t="s">
        <v>395</v>
      </c>
      <c r="D139" s="8" t="s">
        <v>3073</v>
      </c>
      <c r="E139" s="50" t="s">
        <v>1068</v>
      </c>
      <c r="F139" s="8"/>
      <c r="G139" s="50"/>
      <c r="H139" s="50" t="s">
        <v>2024</v>
      </c>
    </row>
    <row r="140" spans="1:8" x14ac:dyDescent="0.25">
      <c r="A140" s="50" t="s">
        <v>1836</v>
      </c>
      <c r="B140" s="50" t="s">
        <v>226</v>
      </c>
      <c r="C140" s="50" t="s">
        <v>395</v>
      </c>
      <c r="D140" s="8" t="s">
        <v>3074</v>
      </c>
      <c r="E140" s="50" t="s">
        <v>1068</v>
      </c>
      <c r="F140" s="8"/>
      <c r="G140" s="50"/>
      <c r="H140" s="50" t="s">
        <v>2024</v>
      </c>
    </row>
    <row r="141" spans="1:8" x14ac:dyDescent="0.25">
      <c r="A141" s="50" t="s">
        <v>1836</v>
      </c>
      <c r="B141" s="50" t="s">
        <v>226</v>
      </c>
      <c r="C141" s="50" t="s">
        <v>395</v>
      </c>
      <c r="D141" s="8" t="s">
        <v>3075</v>
      </c>
      <c r="E141" s="50" t="s">
        <v>1068</v>
      </c>
      <c r="F141" s="8"/>
      <c r="G141" s="50"/>
      <c r="H141" s="50" t="s">
        <v>2024</v>
      </c>
    </row>
    <row r="142" spans="1:8" x14ac:dyDescent="0.25">
      <c r="A142" s="50" t="s">
        <v>1836</v>
      </c>
      <c r="B142" s="50" t="s">
        <v>226</v>
      </c>
      <c r="C142" s="50" t="s">
        <v>395</v>
      </c>
      <c r="D142" s="8" t="s">
        <v>3076</v>
      </c>
      <c r="E142" s="50" t="s">
        <v>1068</v>
      </c>
      <c r="F142" s="8"/>
      <c r="G142" s="50"/>
      <c r="H142" s="50" t="s">
        <v>2024</v>
      </c>
    </row>
    <row r="143" spans="1:8" ht="25.5" x14ac:dyDescent="0.25">
      <c r="A143" s="50" t="s">
        <v>1836</v>
      </c>
      <c r="B143" s="50" t="s">
        <v>226</v>
      </c>
      <c r="C143" s="50" t="s">
        <v>395</v>
      </c>
      <c r="D143" s="8" t="s">
        <v>3077</v>
      </c>
      <c r="E143" s="50" t="s">
        <v>1068</v>
      </c>
      <c r="F143" s="8"/>
      <c r="G143" s="50"/>
      <c r="H143" s="50" t="s">
        <v>2024</v>
      </c>
    </row>
    <row r="144" spans="1:8" x14ac:dyDescent="0.25">
      <c r="A144" s="50" t="s">
        <v>1836</v>
      </c>
      <c r="B144" s="50" t="s">
        <v>226</v>
      </c>
      <c r="C144" s="50" t="s">
        <v>395</v>
      </c>
      <c r="D144" s="8" t="s">
        <v>3078</v>
      </c>
      <c r="E144" s="50" t="s">
        <v>1068</v>
      </c>
      <c r="F144" s="8"/>
      <c r="G144" s="50"/>
      <c r="H144" s="50" t="s">
        <v>2024</v>
      </c>
    </row>
    <row r="145" spans="1:8" x14ac:dyDescent="0.25">
      <c r="A145" s="50" t="s">
        <v>1836</v>
      </c>
      <c r="B145" s="50" t="s">
        <v>226</v>
      </c>
      <c r="C145" s="50" t="s">
        <v>509</v>
      </c>
      <c r="D145" s="8" t="s">
        <v>3056</v>
      </c>
      <c r="E145" s="50" t="s">
        <v>1068</v>
      </c>
      <c r="F145" s="8"/>
      <c r="G145" s="50"/>
      <c r="H145" s="50" t="s">
        <v>2024</v>
      </c>
    </row>
    <row r="146" spans="1:8" x14ac:dyDescent="0.25">
      <c r="A146" s="50" t="s">
        <v>1836</v>
      </c>
      <c r="B146" s="50" t="s">
        <v>226</v>
      </c>
      <c r="C146" s="50" t="s">
        <v>395</v>
      </c>
      <c r="D146" s="8" t="s">
        <v>3079</v>
      </c>
      <c r="E146" s="50" t="s">
        <v>1068</v>
      </c>
      <c r="F146" s="8"/>
      <c r="G146" s="50"/>
      <c r="H146" s="50" t="s">
        <v>2024</v>
      </c>
    </row>
    <row r="147" spans="1:8" x14ac:dyDescent="0.25">
      <c r="A147" s="50" t="s">
        <v>1836</v>
      </c>
      <c r="B147" s="50" t="s">
        <v>226</v>
      </c>
      <c r="C147" s="50" t="s">
        <v>509</v>
      </c>
      <c r="D147" s="8" t="s">
        <v>3080</v>
      </c>
      <c r="E147" s="50" t="s">
        <v>1068</v>
      </c>
      <c r="F147" s="8"/>
      <c r="G147" s="50"/>
      <c r="H147" s="50" t="s">
        <v>2024</v>
      </c>
    </row>
    <row r="148" spans="1:8" x14ac:dyDescent="0.25">
      <c r="A148" s="50" t="s">
        <v>1836</v>
      </c>
      <c r="B148" s="50" t="s">
        <v>226</v>
      </c>
      <c r="C148" s="50" t="s">
        <v>509</v>
      </c>
      <c r="D148" s="8" t="s">
        <v>3081</v>
      </c>
      <c r="E148" s="50" t="s">
        <v>1068</v>
      </c>
      <c r="F148" s="8"/>
      <c r="G148" s="50"/>
      <c r="H148" s="50" t="s">
        <v>2024</v>
      </c>
    </row>
    <row r="149" spans="1:8" x14ac:dyDescent="0.25">
      <c r="A149" s="50" t="s">
        <v>1836</v>
      </c>
      <c r="B149" s="50" t="s">
        <v>226</v>
      </c>
      <c r="C149" s="50" t="s">
        <v>509</v>
      </c>
      <c r="D149" s="8" t="s">
        <v>3082</v>
      </c>
      <c r="E149" s="50" t="s">
        <v>1068</v>
      </c>
      <c r="F149" s="8"/>
      <c r="G149" s="50"/>
      <c r="H149" s="50" t="s">
        <v>2024</v>
      </c>
    </row>
    <row r="150" spans="1:8" x14ac:dyDescent="0.25">
      <c r="A150" s="50" t="s">
        <v>1836</v>
      </c>
      <c r="B150" s="50" t="s">
        <v>226</v>
      </c>
      <c r="C150" s="50" t="s">
        <v>448</v>
      </c>
      <c r="D150" s="8" t="s">
        <v>3083</v>
      </c>
      <c r="E150" s="50" t="s">
        <v>1068</v>
      </c>
      <c r="F150" s="8"/>
      <c r="G150" s="50"/>
      <c r="H150" s="50" t="s">
        <v>2024</v>
      </c>
    </row>
    <row r="151" spans="1:8" ht="38.25" x14ac:dyDescent="0.25">
      <c r="A151" s="50" t="s">
        <v>1836</v>
      </c>
      <c r="B151" s="50" t="s">
        <v>226</v>
      </c>
      <c r="C151" s="50" t="s">
        <v>448</v>
      </c>
      <c r="D151" s="8" t="s">
        <v>3084</v>
      </c>
      <c r="E151" s="50" t="s">
        <v>1068</v>
      </c>
      <c r="F151" s="8"/>
      <c r="G151" s="50"/>
      <c r="H151" s="50" t="s">
        <v>1978</v>
      </c>
    </row>
    <row r="152" spans="1:8" ht="25.5" x14ac:dyDescent="0.25">
      <c r="A152" s="50" t="s">
        <v>1836</v>
      </c>
      <c r="B152" s="50" t="s">
        <v>226</v>
      </c>
      <c r="C152" s="50" t="s">
        <v>411</v>
      </c>
      <c r="D152" s="8" t="s">
        <v>3085</v>
      </c>
      <c r="E152" s="50" t="s">
        <v>1067</v>
      </c>
      <c r="F152" s="8" t="s">
        <v>3086</v>
      </c>
      <c r="G152" s="50">
        <v>0.7</v>
      </c>
      <c r="H152" s="50" t="s">
        <v>1978</v>
      </c>
    </row>
    <row r="153" spans="1:8" x14ac:dyDescent="0.25">
      <c r="A153" s="50" t="s">
        <v>1836</v>
      </c>
      <c r="B153" s="50" t="s">
        <v>226</v>
      </c>
      <c r="C153" s="50" t="s">
        <v>509</v>
      </c>
      <c r="D153" s="8" t="s">
        <v>3087</v>
      </c>
      <c r="E153" s="50" t="s">
        <v>1068</v>
      </c>
      <c r="F153" s="8"/>
      <c r="G153" s="50"/>
      <c r="H153" s="50" t="s">
        <v>1978</v>
      </c>
    </row>
    <row r="154" spans="1:8" x14ac:dyDescent="0.25">
      <c r="A154" s="50" t="s">
        <v>1836</v>
      </c>
      <c r="B154" s="50" t="s">
        <v>226</v>
      </c>
      <c r="C154" s="50" t="s">
        <v>395</v>
      </c>
      <c r="D154" s="8" t="s">
        <v>3088</v>
      </c>
      <c r="E154" s="50" t="s">
        <v>1068</v>
      </c>
      <c r="F154" s="8"/>
      <c r="G154" s="50"/>
      <c r="H154" s="50" t="s">
        <v>1978</v>
      </c>
    </row>
    <row r="155" spans="1:8" x14ac:dyDescent="0.25">
      <c r="A155" s="50" t="s">
        <v>1836</v>
      </c>
      <c r="B155" s="50" t="s">
        <v>226</v>
      </c>
      <c r="C155" s="50" t="s">
        <v>395</v>
      </c>
      <c r="D155" s="8" t="s">
        <v>3089</v>
      </c>
      <c r="E155" s="50" t="s">
        <v>1068</v>
      </c>
      <c r="F155" s="8"/>
      <c r="G155" s="50"/>
      <c r="H155" s="50" t="s">
        <v>1978</v>
      </c>
    </row>
    <row r="156" spans="1:8" x14ac:dyDescent="0.25">
      <c r="A156" s="50" t="s">
        <v>1836</v>
      </c>
      <c r="B156" s="50" t="s">
        <v>226</v>
      </c>
      <c r="C156" s="50" t="s">
        <v>395</v>
      </c>
      <c r="D156" s="8" t="s">
        <v>3090</v>
      </c>
      <c r="E156" s="50" t="s">
        <v>1068</v>
      </c>
      <c r="F156" s="8"/>
      <c r="G156" s="50"/>
      <c r="H156" s="50" t="s">
        <v>1978</v>
      </c>
    </row>
    <row r="157" spans="1:8" x14ac:dyDescent="0.25">
      <c r="A157" s="50" t="s">
        <v>1836</v>
      </c>
      <c r="B157" s="50" t="s">
        <v>226</v>
      </c>
      <c r="C157" s="50" t="s">
        <v>448</v>
      </c>
      <c r="D157" s="8" t="s">
        <v>3091</v>
      </c>
      <c r="E157" s="50" t="s">
        <v>1068</v>
      </c>
      <c r="F157" s="8"/>
      <c r="G157" s="50"/>
      <c r="H157" s="50" t="s">
        <v>1978</v>
      </c>
    </row>
    <row r="158" spans="1:8" x14ac:dyDescent="0.25">
      <c r="A158" s="50" t="s">
        <v>1836</v>
      </c>
      <c r="B158" s="50" t="s">
        <v>226</v>
      </c>
      <c r="C158" s="50" t="s">
        <v>448</v>
      </c>
      <c r="D158" s="8" t="s">
        <v>3092</v>
      </c>
      <c r="E158" s="50" t="s">
        <v>1068</v>
      </c>
      <c r="F158" s="8"/>
      <c r="G158" s="50"/>
      <c r="H158" s="50" t="s">
        <v>1978</v>
      </c>
    </row>
    <row r="159" spans="1:8" x14ac:dyDescent="0.25">
      <c r="A159" s="50" t="s">
        <v>1836</v>
      </c>
      <c r="B159" s="50" t="s">
        <v>226</v>
      </c>
      <c r="C159" s="50" t="s">
        <v>448</v>
      </c>
      <c r="D159" s="8" t="s">
        <v>3093</v>
      </c>
      <c r="E159" s="50" t="s">
        <v>1068</v>
      </c>
      <c r="F159" s="8"/>
      <c r="G159" s="50"/>
      <c r="H159" s="50" t="s">
        <v>1978</v>
      </c>
    </row>
    <row r="160" spans="1:8" x14ac:dyDescent="0.25">
      <c r="A160" s="50" t="s">
        <v>1836</v>
      </c>
      <c r="B160" s="50" t="s">
        <v>226</v>
      </c>
      <c r="C160" s="50" t="s">
        <v>448</v>
      </c>
      <c r="D160" s="8" t="s">
        <v>3094</v>
      </c>
      <c r="E160" s="50" t="s">
        <v>1068</v>
      </c>
      <c r="F160" s="8"/>
      <c r="G160" s="50"/>
      <c r="H160" s="50" t="s">
        <v>1978</v>
      </c>
    </row>
    <row r="161" spans="1:8" x14ac:dyDescent="0.25">
      <c r="A161" s="50" t="s">
        <v>1836</v>
      </c>
      <c r="B161" s="50" t="s">
        <v>226</v>
      </c>
      <c r="C161" s="50" t="s">
        <v>411</v>
      </c>
      <c r="D161" s="8" t="s">
        <v>3095</v>
      </c>
      <c r="E161" s="50" t="s">
        <v>1068</v>
      </c>
      <c r="F161" s="8"/>
      <c r="G161" s="50"/>
      <c r="H161" s="50" t="s">
        <v>1978</v>
      </c>
    </row>
    <row r="162" spans="1:8" x14ac:dyDescent="0.25">
      <c r="A162" s="50" t="s">
        <v>1836</v>
      </c>
      <c r="B162" s="50" t="s">
        <v>226</v>
      </c>
      <c r="C162" s="50" t="s">
        <v>395</v>
      </c>
      <c r="D162" s="8" t="s">
        <v>3096</v>
      </c>
      <c r="E162" s="50" t="s">
        <v>1068</v>
      </c>
      <c r="F162" s="8"/>
      <c r="G162" s="50"/>
      <c r="H162" s="50" t="s">
        <v>2013</v>
      </c>
    </row>
    <row r="163" spans="1:8" ht="25.5" x14ac:dyDescent="0.25">
      <c r="A163" s="50" t="s">
        <v>1836</v>
      </c>
      <c r="B163" s="50" t="s">
        <v>226</v>
      </c>
      <c r="C163" s="50" t="s">
        <v>395</v>
      </c>
      <c r="D163" s="8" t="s">
        <v>3097</v>
      </c>
      <c r="E163" s="50" t="s">
        <v>1068</v>
      </c>
      <c r="F163" s="8"/>
      <c r="G163" s="50"/>
      <c r="H163" s="50" t="s">
        <v>2013</v>
      </c>
    </row>
    <row r="164" spans="1:8" x14ac:dyDescent="0.25">
      <c r="A164" s="50" t="s">
        <v>1836</v>
      </c>
      <c r="B164" s="50" t="s">
        <v>226</v>
      </c>
      <c r="C164" s="50" t="s">
        <v>395</v>
      </c>
      <c r="D164" s="8" t="s">
        <v>3098</v>
      </c>
      <c r="E164" s="50" t="s">
        <v>1068</v>
      </c>
      <c r="F164" s="8"/>
      <c r="G164" s="50"/>
      <c r="H164" s="50" t="s">
        <v>2013</v>
      </c>
    </row>
    <row r="165" spans="1:8" x14ac:dyDescent="0.25">
      <c r="A165" s="50" t="s">
        <v>1836</v>
      </c>
      <c r="B165" s="50" t="s">
        <v>226</v>
      </c>
      <c r="C165" s="50" t="s">
        <v>509</v>
      </c>
      <c r="D165" s="8" t="s">
        <v>3099</v>
      </c>
      <c r="E165" s="50" t="s">
        <v>1068</v>
      </c>
      <c r="F165" s="8"/>
      <c r="G165" s="50"/>
      <c r="H165" s="50" t="s">
        <v>2013</v>
      </c>
    </row>
    <row r="166" spans="1:8" x14ac:dyDescent="0.25">
      <c r="A166" s="50" t="s">
        <v>1836</v>
      </c>
      <c r="B166" s="50" t="s">
        <v>226</v>
      </c>
      <c r="C166" s="50" t="s">
        <v>509</v>
      </c>
      <c r="D166" s="8" t="s">
        <v>3100</v>
      </c>
      <c r="E166" s="50" t="s">
        <v>1068</v>
      </c>
      <c r="F166" s="8"/>
      <c r="G166" s="50"/>
      <c r="H166" s="50" t="s">
        <v>2013</v>
      </c>
    </row>
    <row r="167" spans="1:8" x14ac:dyDescent="0.25">
      <c r="A167" s="50" t="s">
        <v>1836</v>
      </c>
      <c r="B167" s="50" t="s">
        <v>226</v>
      </c>
      <c r="C167" s="50" t="s">
        <v>395</v>
      </c>
      <c r="D167" s="8" t="s">
        <v>3101</v>
      </c>
      <c r="E167" s="50" t="s">
        <v>1068</v>
      </c>
      <c r="F167" s="8"/>
      <c r="G167" s="50"/>
      <c r="H167" s="50" t="s">
        <v>2013</v>
      </c>
    </row>
    <row r="168" spans="1:8" x14ac:dyDescent="0.25">
      <c r="A168" s="50" t="s">
        <v>1836</v>
      </c>
      <c r="B168" s="50" t="s">
        <v>226</v>
      </c>
      <c r="C168" s="50" t="s">
        <v>509</v>
      </c>
      <c r="D168" s="8" t="s">
        <v>3056</v>
      </c>
      <c r="E168" s="50" t="s">
        <v>1068</v>
      </c>
      <c r="F168" s="8"/>
      <c r="G168" s="50"/>
      <c r="H168" s="50" t="s">
        <v>2013</v>
      </c>
    </row>
    <row r="169" spans="1:8" x14ac:dyDescent="0.25">
      <c r="A169" s="50" t="s">
        <v>1836</v>
      </c>
      <c r="B169" s="50" t="s">
        <v>226</v>
      </c>
      <c r="C169" s="50" t="s">
        <v>395</v>
      </c>
      <c r="D169" s="8" t="s">
        <v>3102</v>
      </c>
      <c r="E169" s="50" t="s">
        <v>1068</v>
      </c>
      <c r="F169" s="8"/>
      <c r="G169" s="50"/>
      <c r="H169" s="50" t="s">
        <v>2013</v>
      </c>
    </row>
    <row r="170" spans="1:8" x14ac:dyDescent="0.25">
      <c r="A170" s="50" t="s">
        <v>1836</v>
      </c>
      <c r="B170" s="50" t="s">
        <v>226</v>
      </c>
      <c r="C170" s="50" t="s">
        <v>395</v>
      </c>
      <c r="D170" s="8" t="s">
        <v>3103</v>
      </c>
      <c r="E170" s="50" t="s">
        <v>1068</v>
      </c>
      <c r="F170" s="8"/>
      <c r="G170" s="50"/>
      <c r="H170" s="50" t="s">
        <v>2013</v>
      </c>
    </row>
    <row r="171" spans="1:8" x14ac:dyDescent="0.25">
      <c r="A171" s="50" t="s">
        <v>1836</v>
      </c>
      <c r="B171" s="50" t="s">
        <v>226</v>
      </c>
      <c r="C171" s="50" t="s">
        <v>448</v>
      </c>
      <c r="D171" s="8" t="s">
        <v>3104</v>
      </c>
      <c r="E171" s="50" t="s">
        <v>1068</v>
      </c>
      <c r="F171" s="8"/>
      <c r="G171" s="50"/>
      <c r="H171" s="50" t="s">
        <v>2013</v>
      </c>
    </row>
    <row r="172" spans="1:8" x14ac:dyDescent="0.25">
      <c r="A172" s="50" t="s">
        <v>1836</v>
      </c>
      <c r="B172" s="50" t="s">
        <v>226</v>
      </c>
      <c r="C172" s="50" t="s">
        <v>509</v>
      </c>
      <c r="D172" s="8" t="s">
        <v>2976</v>
      </c>
      <c r="E172" s="50" t="s">
        <v>1068</v>
      </c>
      <c r="F172" s="8"/>
      <c r="G172" s="50"/>
      <c r="H172" s="50" t="s">
        <v>2013</v>
      </c>
    </row>
    <row r="173" spans="1:8" x14ac:dyDescent="0.25">
      <c r="A173" s="50" t="s">
        <v>1836</v>
      </c>
      <c r="B173" s="50" t="s">
        <v>226</v>
      </c>
      <c r="C173" s="50" t="s">
        <v>448</v>
      </c>
      <c r="D173" s="8" t="s">
        <v>3105</v>
      </c>
      <c r="E173" s="50" t="s">
        <v>1068</v>
      </c>
      <c r="F173" s="8"/>
      <c r="G173" s="50"/>
      <c r="H173" s="50" t="s">
        <v>2013</v>
      </c>
    </row>
    <row r="174" spans="1:8" x14ac:dyDescent="0.25">
      <c r="A174" s="50" t="s">
        <v>1836</v>
      </c>
      <c r="B174" s="50" t="s">
        <v>226</v>
      </c>
      <c r="C174" s="50" t="s">
        <v>395</v>
      </c>
      <c r="D174" s="8" t="s">
        <v>3106</v>
      </c>
      <c r="E174" s="50" t="s">
        <v>1068</v>
      </c>
      <c r="F174" s="8"/>
      <c r="G174" s="50"/>
      <c r="H174" s="50" t="s">
        <v>2121</v>
      </c>
    </row>
    <row r="175" spans="1:8" x14ac:dyDescent="0.25">
      <c r="A175" s="50" t="s">
        <v>1836</v>
      </c>
      <c r="B175" s="50" t="s">
        <v>226</v>
      </c>
      <c r="C175" s="50" t="s">
        <v>395</v>
      </c>
      <c r="D175" s="8" t="s">
        <v>3107</v>
      </c>
      <c r="E175" s="50" t="s">
        <v>1068</v>
      </c>
      <c r="F175" s="8"/>
      <c r="G175" s="50"/>
      <c r="H175" s="50" t="s">
        <v>2121</v>
      </c>
    </row>
    <row r="176" spans="1:8" x14ac:dyDescent="0.25">
      <c r="A176" s="50" t="s">
        <v>1836</v>
      </c>
      <c r="B176" s="50" t="s">
        <v>226</v>
      </c>
      <c r="C176" s="50" t="s">
        <v>395</v>
      </c>
      <c r="D176" s="8" t="s">
        <v>3108</v>
      </c>
      <c r="E176" s="50" t="s">
        <v>1068</v>
      </c>
      <c r="F176" s="8"/>
      <c r="G176" s="50"/>
      <c r="H176" s="50" t="s">
        <v>2121</v>
      </c>
    </row>
    <row r="177" spans="1:8" x14ac:dyDescent="0.25">
      <c r="A177" s="50" t="s">
        <v>1836</v>
      </c>
      <c r="B177" s="50" t="s">
        <v>226</v>
      </c>
      <c r="C177" s="50" t="s">
        <v>395</v>
      </c>
      <c r="D177" s="8" t="s">
        <v>3109</v>
      </c>
      <c r="E177" s="50" t="s">
        <v>1068</v>
      </c>
      <c r="F177" s="8"/>
      <c r="G177" s="50"/>
      <c r="H177" s="50" t="s">
        <v>2121</v>
      </c>
    </row>
    <row r="178" spans="1:8" ht="25.5" x14ac:dyDescent="0.25">
      <c r="A178" s="50" t="s">
        <v>1836</v>
      </c>
      <c r="B178" s="50" t="s">
        <v>226</v>
      </c>
      <c r="C178" s="50" t="s">
        <v>395</v>
      </c>
      <c r="D178" s="8" t="s">
        <v>3110</v>
      </c>
      <c r="E178" s="50" t="s">
        <v>1068</v>
      </c>
      <c r="F178" s="8"/>
      <c r="G178" s="50"/>
      <c r="H178" s="50" t="s">
        <v>2121</v>
      </c>
    </row>
    <row r="179" spans="1:8" x14ac:dyDescent="0.25">
      <c r="A179" s="50" t="s">
        <v>1836</v>
      </c>
      <c r="B179" s="50" t="s">
        <v>226</v>
      </c>
      <c r="C179" s="50" t="s">
        <v>448</v>
      </c>
      <c r="D179" s="8" t="s">
        <v>3111</v>
      </c>
      <c r="E179" s="50" t="s">
        <v>1068</v>
      </c>
      <c r="F179" s="8"/>
      <c r="G179" s="50"/>
      <c r="H179" s="50" t="s">
        <v>2121</v>
      </c>
    </row>
    <row r="180" spans="1:8" x14ac:dyDescent="0.25">
      <c r="A180" s="50" t="s">
        <v>1836</v>
      </c>
      <c r="B180" s="50" t="s">
        <v>226</v>
      </c>
      <c r="C180" s="50" t="s">
        <v>395</v>
      </c>
      <c r="D180" s="8" t="s">
        <v>3112</v>
      </c>
      <c r="E180" s="50" t="s">
        <v>1068</v>
      </c>
      <c r="F180" s="8"/>
      <c r="G180" s="50"/>
      <c r="H180" s="50" t="s">
        <v>2121</v>
      </c>
    </row>
    <row r="181" spans="1:8" x14ac:dyDescent="0.25">
      <c r="A181" s="50" t="s">
        <v>1836</v>
      </c>
      <c r="B181" s="50" t="s">
        <v>226</v>
      </c>
      <c r="C181" s="50" t="s">
        <v>448</v>
      </c>
      <c r="D181" s="8" t="s">
        <v>3113</v>
      </c>
      <c r="E181" s="50" t="s">
        <v>1068</v>
      </c>
      <c r="F181" s="8"/>
      <c r="G181" s="50"/>
      <c r="H181" s="50" t="s">
        <v>2121</v>
      </c>
    </row>
    <row r="182" spans="1:8" x14ac:dyDescent="0.25">
      <c r="A182" s="50" t="s">
        <v>1836</v>
      </c>
      <c r="B182" s="50" t="s">
        <v>226</v>
      </c>
      <c r="C182" s="50" t="s">
        <v>395</v>
      </c>
      <c r="D182" s="8" t="s">
        <v>3114</v>
      </c>
      <c r="E182" s="50" t="s">
        <v>1068</v>
      </c>
      <c r="F182" s="8"/>
      <c r="G182" s="50"/>
      <c r="H182" s="50" t="s">
        <v>2121</v>
      </c>
    </row>
    <row r="183" spans="1:8" x14ac:dyDescent="0.25">
      <c r="A183" s="50" t="s">
        <v>1836</v>
      </c>
      <c r="B183" s="50" t="s">
        <v>226</v>
      </c>
      <c r="C183" s="50" t="s">
        <v>509</v>
      </c>
      <c r="D183" s="8" t="s">
        <v>3010</v>
      </c>
      <c r="E183" s="50" t="s">
        <v>1068</v>
      </c>
      <c r="F183" s="8"/>
      <c r="G183" s="50"/>
      <c r="H183" s="50" t="s">
        <v>2121</v>
      </c>
    </row>
    <row r="184" spans="1:8" x14ac:dyDescent="0.25">
      <c r="A184" s="50" t="s">
        <v>1836</v>
      </c>
      <c r="B184" s="50" t="s">
        <v>226</v>
      </c>
      <c r="C184" s="50" t="s">
        <v>509</v>
      </c>
      <c r="D184" s="8" t="s">
        <v>3115</v>
      </c>
      <c r="E184" s="50" t="s">
        <v>1068</v>
      </c>
      <c r="F184" s="8"/>
      <c r="G184" s="50"/>
      <c r="H184" s="50" t="s">
        <v>2121</v>
      </c>
    </row>
    <row r="185" spans="1:8" x14ac:dyDescent="0.25">
      <c r="A185" s="50" t="s">
        <v>1836</v>
      </c>
      <c r="B185" s="50" t="s">
        <v>226</v>
      </c>
      <c r="C185" s="50" t="s">
        <v>448</v>
      </c>
      <c r="D185" s="8" t="s">
        <v>3116</v>
      </c>
      <c r="E185" s="50" t="s">
        <v>1068</v>
      </c>
      <c r="F185" s="8"/>
      <c r="G185" s="50"/>
      <c r="H185" s="50" t="s">
        <v>2121</v>
      </c>
    </row>
    <row r="186" spans="1:8" x14ac:dyDescent="0.25">
      <c r="A186" s="50" t="s">
        <v>1836</v>
      </c>
      <c r="B186" s="50" t="s">
        <v>226</v>
      </c>
      <c r="C186" s="50" t="s">
        <v>448</v>
      </c>
      <c r="D186" s="8" t="s">
        <v>3117</v>
      </c>
      <c r="E186" s="50" t="s">
        <v>1068</v>
      </c>
      <c r="F186" s="8"/>
      <c r="G186" s="50"/>
      <c r="H186" s="50" t="s">
        <v>2121</v>
      </c>
    </row>
    <row r="187" spans="1:8" x14ac:dyDescent="0.25">
      <c r="A187" s="50" t="s">
        <v>1836</v>
      </c>
      <c r="B187" s="50" t="s">
        <v>226</v>
      </c>
      <c r="C187" s="50" t="s">
        <v>395</v>
      </c>
      <c r="D187" s="8" t="s">
        <v>3118</v>
      </c>
      <c r="E187" s="50" t="s">
        <v>1067</v>
      </c>
      <c r="F187" s="8" t="s">
        <v>3119</v>
      </c>
      <c r="G187" s="50">
        <v>24.8</v>
      </c>
      <c r="H187" s="50" t="s">
        <v>2171</v>
      </c>
    </row>
    <row r="188" spans="1:8" x14ac:dyDescent="0.25">
      <c r="A188" s="50" t="s">
        <v>1836</v>
      </c>
      <c r="B188" s="50" t="s">
        <v>226</v>
      </c>
      <c r="C188" s="50" t="s">
        <v>395</v>
      </c>
      <c r="D188" s="8" t="s">
        <v>3120</v>
      </c>
      <c r="E188" s="50" t="s">
        <v>1068</v>
      </c>
      <c r="F188" s="8"/>
      <c r="G188" s="50"/>
      <c r="H188" s="50" t="s">
        <v>2171</v>
      </c>
    </row>
    <row r="189" spans="1:8" x14ac:dyDescent="0.25">
      <c r="A189" s="50" t="s">
        <v>1836</v>
      </c>
      <c r="B189" s="50" t="s">
        <v>226</v>
      </c>
      <c r="C189" s="50" t="s">
        <v>395</v>
      </c>
      <c r="D189" s="8" t="s">
        <v>3121</v>
      </c>
      <c r="E189" s="50" t="s">
        <v>1067</v>
      </c>
      <c r="F189" s="8" t="s">
        <v>3122</v>
      </c>
      <c r="G189" s="50">
        <v>27.5</v>
      </c>
      <c r="H189" s="50" t="s">
        <v>2171</v>
      </c>
    </row>
    <row r="190" spans="1:8" ht="76.5" x14ac:dyDescent="0.25">
      <c r="A190" s="50" t="s">
        <v>1836</v>
      </c>
      <c r="B190" s="50" t="s">
        <v>226</v>
      </c>
      <c r="C190" s="50" t="s">
        <v>395</v>
      </c>
      <c r="D190" s="8" t="s">
        <v>3123</v>
      </c>
      <c r="E190" s="50" t="s">
        <v>1068</v>
      </c>
      <c r="F190" s="8"/>
      <c r="G190" s="50"/>
      <c r="H190" s="50" t="s">
        <v>2171</v>
      </c>
    </row>
    <row r="191" spans="1:8" ht="76.5" x14ac:dyDescent="0.25">
      <c r="A191" s="50" t="s">
        <v>1836</v>
      </c>
      <c r="B191" s="50" t="s">
        <v>226</v>
      </c>
      <c r="C191" s="50" t="s">
        <v>448</v>
      </c>
      <c r="D191" s="8" t="s">
        <v>3124</v>
      </c>
      <c r="E191" s="50" t="s">
        <v>1068</v>
      </c>
      <c r="F191" s="8"/>
      <c r="G191" s="50"/>
      <c r="H191" s="50" t="s">
        <v>2171</v>
      </c>
    </row>
    <row r="192" spans="1:8" x14ac:dyDescent="0.25">
      <c r="A192" s="50" t="s">
        <v>1836</v>
      </c>
      <c r="B192" s="50" t="s">
        <v>226</v>
      </c>
      <c r="C192" s="50" t="s">
        <v>509</v>
      </c>
      <c r="D192" s="8"/>
      <c r="E192" s="50" t="s">
        <v>1068</v>
      </c>
      <c r="F192" s="8"/>
      <c r="G192" s="50"/>
      <c r="H192" s="50" t="s">
        <v>2171</v>
      </c>
    </row>
    <row r="193" spans="1:8" x14ac:dyDescent="0.25">
      <c r="A193" s="50" t="s">
        <v>1836</v>
      </c>
      <c r="B193" s="50" t="s">
        <v>226</v>
      </c>
      <c r="C193" s="50" t="s">
        <v>509</v>
      </c>
      <c r="D193" s="8"/>
      <c r="E193" s="50" t="s">
        <v>1068</v>
      </c>
      <c r="F193" s="8"/>
      <c r="G193" s="50"/>
      <c r="H193" s="50" t="s">
        <v>2171</v>
      </c>
    </row>
    <row r="194" spans="1:8" x14ac:dyDescent="0.25">
      <c r="A194" s="50" t="s">
        <v>1836</v>
      </c>
      <c r="B194" s="50" t="s">
        <v>226</v>
      </c>
      <c r="C194" s="50" t="s">
        <v>509</v>
      </c>
      <c r="D194" s="8" t="s">
        <v>3125</v>
      </c>
      <c r="E194" s="50" t="s">
        <v>1068</v>
      </c>
      <c r="F194" s="8"/>
      <c r="G194" s="50"/>
      <c r="H194" s="50" t="s">
        <v>2171</v>
      </c>
    </row>
    <row r="195" spans="1:8" x14ac:dyDescent="0.25">
      <c r="A195" s="50" t="s">
        <v>1836</v>
      </c>
      <c r="B195" s="50" t="s">
        <v>226</v>
      </c>
      <c r="C195" s="50" t="s">
        <v>395</v>
      </c>
      <c r="D195" s="8" t="s">
        <v>3126</v>
      </c>
      <c r="E195" s="50" t="s">
        <v>1068</v>
      </c>
      <c r="F195" s="8"/>
      <c r="G195" s="50"/>
      <c r="H195" s="50" t="s">
        <v>2171</v>
      </c>
    </row>
    <row r="196" spans="1:8" x14ac:dyDescent="0.25">
      <c r="A196" s="50" t="s">
        <v>1836</v>
      </c>
      <c r="B196" s="50" t="s">
        <v>226</v>
      </c>
      <c r="C196" s="50" t="s">
        <v>448</v>
      </c>
      <c r="D196" s="8" t="s">
        <v>3127</v>
      </c>
      <c r="E196" s="50" t="s">
        <v>1068</v>
      </c>
      <c r="F196" s="8"/>
      <c r="G196" s="50"/>
      <c r="H196" s="50" t="s">
        <v>2171</v>
      </c>
    </row>
    <row r="197" spans="1:8" x14ac:dyDescent="0.25">
      <c r="A197" s="50" t="s">
        <v>1836</v>
      </c>
      <c r="B197" s="50" t="s">
        <v>226</v>
      </c>
      <c r="C197" s="50" t="s">
        <v>448</v>
      </c>
      <c r="D197" s="8" t="s">
        <v>3128</v>
      </c>
      <c r="E197" s="50" t="s">
        <v>1068</v>
      </c>
      <c r="F197" s="8"/>
      <c r="G197" s="50"/>
      <c r="H197" s="50" t="s">
        <v>2171</v>
      </c>
    </row>
    <row r="198" spans="1:8" ht="25.5" x14ac:dyDescent="0.25">
      <c r="A198" s="50" t="s">
        <v>1836</v>
      </c>
      <c r="B198" s="50" t="s">
        <v>226</v>
      </c>
      <c r="C198" s="50" t="s">
        <v>395</v>
      </c>
      <c r="D198" s="8" t="s">
        <v>3129</v>
      </c>
      <c r="E198" s="50" t="s">
        <v>1068</v>
      </c>
      <c r="F198" s="8"/>
      <c r="G198" s="50"/>
      <c r="H198" s="50" t="s">
        <v>2171</v>
      </c>
    </row>
    <row r="199" spans="1:8" x14ac:dyDescent="0.25">
      <c r="A199" s="50" t="s">
        <v>1836</v>
      </c>
      <c r="B199" s="50" t="s">
        <v>226</v>
      </c>
      <c r="C199" s="50" t="s">
        <v>448</v>
      </c>
      <c r="D199" s="8" t="s">
        <v>3130</v>
      </c>
      <c r="E199" s="50" t="s">
        <v>1068</v>
      </c>
      <c r="F199" s="8"/>
      <c r="G199" s="50"/>
      <c r="H199" s="50" t="s">
        <v>2171</v>
      </c>
    </row>
    <row r="200" spans="1:8" x14ac:dyDescent="0.25">
      <c r="A200" s="50" t="s">
        <v>1836</v>
      </c>
      <c r="B200" s="50" t="s">
        <v>226</v>
      </c>
      <c r="C200" s="50" t="s">
        <v>509</v>
      </c>
      <c r="D200" s="8"/>
      <c r="E200" s="50" t="s">
        <v>1068</v>
      </c>
      <c r="F200" s="8"/>
      <c r="G200" s="50"/>
      <c r="H200" s="50" t="s">
        <v>2171</v>
      </c>
    </row>
    <row r="201" spans="1:8" x14ac:dyDescent="0.25">
      <c r="A201" s="50" t="s">
        <v>1836</v>
      </c>
      <c r="B201" s="50" t="s">
        <v>226</v>
      </c>
      <c r="C201" s="50" t="s">
        <v>509</v>
      </c>
      <c r="D201" s="8" t="s">
        <v>3131</v>
      </c>
      <c r="E201" s="50" t="s">
        <v>1068</v>
      </c>
      <c r="F201" s="8"/>
      <c r="G201" s="50"/>
      <c r="H201" s="50" t="s">
        <v>2171</v>
      </c>
    </row>
    <row r="202" spans="1:8" x14ac:dyDescent="0.25">
      <c r="A202" s="50" t="s">
        <v>1836</v>
      </c>
      <c r="B202" s="50" t="s">
        <v>226</v>
      </c>
      <c r="C202" s="50" t="s">
        <v>509</v>
      </c>
      <c r="D202" s="8" t="s">
        <v>2974</v>
      </c>
      <c r="E202" s="50" t="s">
        <v>1068</v>
      </c>
      <c r="F202" s="8"/>
      <c r="G202" s="50"/>
      <c r="H202" s="50" t="s">
        <v>2086</v>
      </c>
    </row>
    <row r="203" spans="1:8" x14ac:dyDescent="0.25">
      <c r="A203" s="50" t="s">
        <v>1836</v>
      </c>
      <c r="B203" s="50" t="s">
        <v>226</v>
      </c>
      <c r="C203" s="50" t="s">
        <v>448</v>
      </c>
      <c r="D203" s="8" t="s">
        <v>3132</v>
      </c>
      <c r="E203" s="50" t="s">
        <v>1068</v>
      </c>
      <c r="F203" s="8"/>
      <c r="G203" s="50"/>
      <c r="H203" s="50" t="s">
        <v>2086</v>
      </c>
    </row>
    <row r="204" spans="1:8" x14ac:dyDescent="0.25">
      <c r="A204" s="50" t="s">
        <v>1836</v>
      </c>
      <c r="B204" s="50" t="s">
        <v>226</v>
      </c>
      <c r="C204" s="50" t="s">
        <v>395</v>
      </c>
      <c r="D204" s="8" t="s">
        <v>3133</v>
      </c>
      <c r="E204" s="50" t="s">
        <v>1068</v>
      </c>
      <c r="F204" s="8"/>
      <c r="G204" s="50"/>
      <c r="H204" s="50" t="s">
        <v>2086</v>
      </c>
    </row>
    <row r="205" spans="1:8" x14ac:dyDescent="0.25">
      <c r="A205" s="50" t="s">
        <v>1836</v>
      </c>
      <c r="B205" s="50" t="s">
        <v>226</v>
      </c>
      <c r="C205" s="50" t="s">
        <v>434</v>
      </c>
      <c r="D205" s="8" t="s">
        <v>3134</v>
      </c>
      <c r="E205" s="50" t="s">
        <v>1068</v>
      </c>
      <c r="F205" s="8"/>
      <c r="G205" s="50"/>
      <c r="H205" s="50" t="s">
        <v>2086</v>
      </c>
    </row>
    <row r="206" spans="1:8" x14ac:dyDescent="0.25">
      <c r="A206" s="50" t="s">
        <v>1836</v>
      </c>
      <c r="B206" s="50" t="s">
        <v>226</v>
      </c>
      <c r="C206" s="50" t="s">
        <v>448</v>
      </c>
      <c r="D206" s="8" t="s">
        <v>3135</v>
      </c>
      <c r="E206" s="50" t="s">
        <v>1068</v>
      </c>
      <c r="F206" s="8"/>
      <c r="G206" s="50"/>
      <c r="H206" s="50" t="s">
        <v>2086</v>
      </c>
    </row>
    <row r="207" spans="1:8" x14ac:dyDescent="0.25">
      <c r="A207" s="50" t="s">
        <v>1836</v>
      </c>
      <c r="B207" s="50" t="s">
        <v>226</v>
      </c>
      <c r="C207" s="50" t="s">
        <v>509</v>
      </c>
      <c r="D207" s="8" t="s">
        <v>3136</v>
      </c>
      <c r="E207" s="50" t="s">
        <v>1068</v>
      </c>
      <c r="F207" s="8"/>
      <c r="G207" s="50"/>
      <c r="H207" s="50" t="s">
        <v>2086</v>
      </c>
    </row>
    <row r="208" spans="1:8" x14ac:dyDescent="0.25">
      <c r="A208" s="50" t="s">
        <v>1836</v>
      </c>
      <c r="B208" s="50" t="s">
        <v>226</v>
      </c>
      <c r="C208" s="50" t="s">
        <v>509</v>
      </c>
      <c r="D208" s="8" t="s">
        <v>3051</v>
      </c>
      <c r="E208" s="50" t="s">
        <v>1068</v>
      </c>
      <c r="F208" s="8"/>
      <c r="G208" s="50"/>
      <c r="H208" s="50" t="s">
        <v>2086</v>
      </c>
    </row>
    <row r="209" spans="1:8" x14ac:dyDescent="0.25">
      <c r="A209" s="50" t="s">
        <v>1836</v>
      </c>
      <c r="B209" s="50" t="s">
        <v>226</v>
      </c>
      <c r="C209" s="50" t="s">
        <v>509</v>
      </c>
      <c r="D209" s="8" t="s">
        <v>3137</v>
      </c>
      <c r="E209" s="50" t="s">
        <v>1068</v>
      </c>
      <c r="F209" s="8"/>
      <c r="G209" s="50"/>
      <c r="H209" s="50" t="s">
        <v>2086</v>
      </c>
    </row>
    <row r="210" spans="1:8" x14ac:dyDescent="0.25">
      <c r="A210" s="50" t="s">
        <v>1836</v>
      </c>
      <c r="B210" s="50" t="s">
        <v>226</v>
      </c>
      <c r="C210" s="50" t="s">
        <v>411</v>
      </c>
      <c r="D210" s="8" t="s">
        <v>3138</v>
      </c>
      <c r="E210" s="50" t="s">
        <v>1068</v>
      </c>
      <c r="F210" s="8"/>
      <c r="G210" s="50"/>
      <c r="H210" s="50" t="s">
        <v>2086</v>
      </c>
    </row>
    <row r="211" spans="1:8" x14ac:dyDescent="0.25">
      <c r="A211" s="50" t="s">
        <v>1836</v>
      </c>
      <c r="B211" s="50" t="s">
        <v>226</v>
      </c>
      <c r="C211" s="50" t="s">
        <v>411</v>
      </c>
      <c r="D211" s="8" t="s">
        <v>3139</v>
      </c>
      <c r="E211" s="50" t="s">
        <v>1068</v>
      </c>
      <c r="F211" s="8"/>
      <c r="G211" s="50"/>
      <c r="H211" s="50" t="s">
        <v>2086</v>
      </c>
    </row>
    <row r="212" spans="1:8" x14ac:dyDescent="0.25">
      <c r="A212" s="50" t="s">
        <v>1836</v>
      </c>
      <c r="B212" s="50" t="s">
        <v>226</v>
      </c>
      <c r="C212" s="50" t="s">
        <v>448</v>
      </c>
      <c r="D212" s="8" t="s">
        <v>3140</v>
      </c>
      <c r="E212" s="50" t="s">
        <v>1068</v>
      </c>
      <c r="F212" s="8"/>
      <c r="G212" s="50"/>
      <c r="H212" s="50" t="s">
        <v>2086</v>
      </c>
    </row>
    <row r="213" spans="1:8" x14ac:dyDescent="0.25">
      <c r="A213" s="50" t="s">
        <v>1836</v>
      </c>
      <c r="B213" s="50" t="s">
        <v>226</v>
      </c>
      <c r="C213" s="50" t="s">
        <v>448</v>
      </c>
      <c r="D213" s="8" t="s">
        <v>3141</v>
      </c>
      <c r="E213" s="50" t="s">
        <v>1068</v>
      </c>
      <c r="F213" s="8"/>
      <c r="G213" s="50"/>
      <c r="H213" s="50" t="s">
        <v>2086</v>
      </c>
    </row>
    <row r="214" spans="1:8" x14ac:dyDescent="0.25">
      <c r="A214" s="50" t="s">
        <v>1836</v>
      </c>
      <c r="B214" s="50" t="s">
        <v>226</v>
      </c>
      <c r="C214" s="50" t="s">
        <v>448</v>
      </c>
      <c r="D214" s="8" t="s">
        <v>3142</v>
      </c>
      <c r="E214" s="50" t="s">
        <v>1068</v>
      </c>
      <c r="F214" s="8"/>
      <c r="G214" s="50"/>
      <c r="H214" s="50" t="s">
        <v>2086</v>
      </c>
    </row>
    <row r="215" spans="1:8" x14ac:dyDescent="0.25">
      <c r="A215" s="50" t="s">
        <v>1836</v>
      </c>
      <c r="B215" s="50" t="s">
        <v>226</v>
      </c>
      <c r="C215" s="50" t="s">
        <v>395</v>
      </c>
      <c r="D215" s="8" t="s">
        <v>3143</v>
      </c>
      <c r="E215" s="50" t="s">
        <v>1068</v>
      </c>
      <c r="F215" s="8"/>
      <c r="G215" s="50"/>
      <c r="H215" s="50" t="s">
        <v>2178</v>
      </c>
    </row>
    <row r="216" spans="1:8" x14ac:dyDescent="0.25">
      <c r="A216" s="50" t="s">
        <v>1836</v>
      </c>
      <c r="B216" s="50" t="s">
        <v>226</v>
      </c>
      <c r="C216" s="50" t="s">
        <v>509</v>
      </c>
      <c r="D216" s="8" t="s">
        <v>3144</v>
      </c>
      <c r="E216" s="50" t="s">
        <v>1068</v>
      </c>
      <c r="F216" s="8"/>
      <c r="G216" s="50"/>
      <c r="H216" s="50" t="s">
        <v>2178</v>
      </c>
    </row>
    <row r="217" spans="1:8" x14ac:dyDescent="0.25">
      <c r="A217" s="50" t="s">
        <v>1836</v>
      </c>
      <c r="B217" s="50" t="s">
        <v>226</v>
      </c>
      <c r="C217" s="50" t="s">
        <v>448</v>
      </c>
      <c r="D217" s="8" t="s">
        <v>3145</v>
      </c>
      <c r="E217" s="50" t="s">
        <v>1068</v>
      </c>
      <c r="F217" s="8"/>
      <c r="G217" s="50"/>
      <c r="H217" s="50" t="s">
        <v>2178</v>
      </c>
    </row>
    <row r="218" spans="1:8" ht="25.5" x14ac:dyDescent="0.25">
      <c r="A218" s="50" t="s">
        <v>1836</v>
      </c>
      <c r="B218" s="50" t="s">
        <v>226</v>
      </c>
      <c r="C218" s="50" t="s">
        <v>411</v>
      </c>
      <c r="D218" s="8" t="s">
        <v>3146</v>
      </c>
      <c r="E218" s="50" t="s">
        <v>1068</v>
      </c>
      <c r="F218" s="8"/>
      <c r="G218" s="50"/>
      <c r="H218" s="50" t="s">
        <v>2178</v>
      </c>
    </row>
    <row r="219" spans="1:8" x14ac:dyDescent="0.25">
      <c r="A219" s="50" t="s">
        <v>1836</v>
      </c>
      <c r="B219" s="50" t="s">
        <v>226</v>
      </c>
      <c r="C219" s="50" t="s">
        <v>443</v>
      </c>
      <c r="D219" s="8" t="s">
        <v>3147</v>
      </c>
      <c r="E219" s="50" t="s">
        <v>1068</v>
      </c>
      <c r="F219" s="8"/>
      <c r="G219" s="50"/>
      <c r="H219" s="50" t="s">
        <v>2178</v>
      </c>
    </row>
    <row r="220" spans="1:8" x14ac:dyDescent="0.25">
      <c r="A220" s="50" t="s">
        <v>1836</v>
      </c>
      <c r="B220" s="50" t="s">
        <v>226</v>
      </c>
      <c r="C220" s="50" t="s">
        <v>443</v>
      </c>
      <c r="D220" s="8" t="s">
        <v>3148</v>
      </c>
      <c r="E220" s="50" t="s">
        <v>1068</v>
      </c>
      <c r="F220" s="8"/>
      <c r="G220" s="50"/>
      <c r="H220" s="50" t="s">
        <v>2178</v>
      </c>
    </row>
    <row r="221" spans="1:8" ht="25.5" x14ac:dyDescent="0.25">
      <c r="A221" s="50" t="s">
        <v>1836</v>
      </c>
      <c r="B221" s="50" t="s">
        <v>226</v>
      </c>
      <c r="C221" s="50" t="s">
        <v>443</v>
      </c>
      <c r="D221" s="8" t="s">
        <v>3149</v>
      </c>
      <c r="E221" s="50" t="s">
        <v>1068</v>
      </c>
      <c r="F221" s="8"/>
      <c r="G221" s="50"/>
      <c r="H221" s="50" t="s">
        <v>2178</v>
      </c>
    </row>
    <row r="222" spans="1:8" x14ac:dyDescent="0.25">
      <c r="A222" s="50" t="s">
        <v>1836</v>
      </c>
      <c r="B222" s="50" t="s">
        <v>226</v>
      </c>
      <c r="C222" s="50" t="s">
        <v>443</v>
      </c>
      <c r="D222" s="8" t="s">
        <v>3150</v>
      </c>
      <c r="E222" s="50" t="s">
        <v>1068</v>
      </c>
      <c r="F222" s="8"/>
      <c r="G222" s="50"/>
      <c r="H222" s="50" t="s">
        <v>2178</v>
      </c>
    </row>
    <row r="223" spans="1:8" x14ac:dyDescent="0.25">
      <c r="A223" s="50" t="s">
        <v>1836</v>
      </c>
      <c r="B223" s="50" t="s">
        <v>226</v>
      </c>
      <c r="C223" s="50" t="s">
        <v>443</v>
      </c>
      <c r="D223" s="8" t="s">
        <v>3151</v>
      </c>
      <c r="E223" s="50" t="s">
        <v>1068</v>
      </c>
      <c r="F223" s="8"/>
      <c r="G223" s="50"/>
      <c r="H223" s="50" t="s">
        <v>2178</v>
      </c>
    </row>
    <row r="224" spans="1:8" ht="63.75" x14ac:dyDescent="0.25">
      <c r="A224" s="50" t="s">
        <v>1836</v>
      </c>
      <c r="B224" s="50" t="s">
        <v>226</v>
      </c>
      <c r="C224" s="50" t="s">
        <v>395</v>
      </c>
      <c r="D224" s="8" t="s">
        <v>3152</v>
      </c>
      <c r="E224" s="50" t="s">
        <v>1068</v>
      </c>
      <c r="F224" s="8"/>
      <c r="G224" s="50"/>
      <c r="H224" s="50" t="s">
        <v>1970</v>
      </c>
    </row>
    <row r="225" spans="1:8" ht="25.5" x14ac:dyDescent="0.25">
      <c r="A225" s="50" t="s">
        <v>1836</v>
      </c>
      <c r="B225" s="50" t="s">
        <v>226</v>
      </c>
      <c r="C225" s="50" t="s">
        <v>434</v>
      </c>
      <c r="D225" s="8" t="s">
        <v>3153</v>
      </c>
      <c r="E225" s="50" t="s">
        <v>1068</v>
      </c>
      <c r="F225" s="8"/>
      <c r="G225" s="50"/>
      <c r="H225" s="50" t="s">
        <v>1970</v>
      </c>
    </row>
    <row r="226" spans="1:8" x14ac:dyDescent="0.25">
      <c r="A226" s="50" t="s">
        <v>1836</v>
      </c>
      <c r="B226" s="50" t="s">
        <v>226</v>
      </c>
      <c r="C226" s="50" t="s">
        <v>448</v>
      </c>
      <c r="D226" s="8" t="s">
        <v>3154</v>
      </c>
      <c r="E226" s="50" t="s">
        <v>1068</v>
      </c>
      <c r="F226" s="8"/>
      <c r="G226" s="50"/>
      <c r="H226" s="50" t="s">
        <v>1970</v>
      </c>
    </row>
    <row r="227" spans="1:8" ht="25.5" x14ac:dyDescent="0.25">
      <c r="A227" s="50" t="s">
        <v>1836</v>
      </c>
      <c r="B227" s="50" t="s">
        <v>226</v>
      </c>
      <c r="C227" s="50" t="s">
        <v>434</v>
      </c>
      <c r="D227" s="8" t="s">
        <v>3155</v>
      </c>
      <c r="E227" s="50" t="s">
        <v>1068</v>
      </c>
      <c r="F227" s="8"/>
      <c r="G227" s="50"/>
      <c r="H227" s="50" t="s">
        <v>1970</v>
      </c>
    </row>
    <row r="228" spans="1:8" x14ac:dyDescent="0.25">
      <c r="A228" s="50" t="s">
        <v>1836</v>
      </c>
      <c r="B228" s="50" t="s">
        <v>226</v>
      </c>
      <c r="C228" s="50" t="s">
        <v>434</v>
      </c>
      <c r="D228" s="8" t="s">
        <v>3156</v>
      </c>
      <c r="E228" s="50" t="s">
        <v>1068</v>
      </c>
      <c r="F228" s="8"/>
      <c r="G228" s="50"/>
      <c r="H228" s="50" t="s">
        <v>1970</v>
      </c>
    </row>
    <row r="229" spans="1:8" x14ac:dyDescent="0.25">
      <c r="A229" s="50" t="s">
        <v>1836</v>
      </c>
      <c r="B229" s="50" t="s">
        <v>226</v>
      </c>
      <c r="C229" s="50" t="s">
        <v>448</v>
      </c>
      <c r="D229" s="8" t="s">
        <v>3157</v>
      </c>
      <c r="E229" s="50" t="s">
        <v>1068</v>
      </c>
      <c r="F229" s="8"/>
      <c r="G229" s="50"/>
      <c r="H229" s="50" t="s">
        <v>1970</v>
      </c>
    </row>
    <row r="230" spans="1:8" x14ac:dyDescent="0.25">
      <c r="A230" s="50" t="s">
        <v>1836</v>
      </c>
      <c r="B230" s="50" t="s">
        <v>226</v>
      </c>
      <c r="C230" s="50" t="s">
        <v>448</v>
      </c>
      <c r="D230" s="8" t="s">
        <v>3158</v>
      </c>
      <c r="E230" s="50" t="s">
        <v>1068</v>
      </c>
      <c r="F230" s="8"/>
      <c r="G230" s="50"/>
      <c r="H230" s="50" t="s">
        <v>1970</v>
      </c>
    </row>
    <row r="231" spans="1:8" x14ac:dyDescent="0.25">
      <c r="A231" s="50" t="s">
        <v>1836</v>
      </c>
      <c r="B231" s="50" t="s">
        <v>226</v>
      </c>
      <c r="C231" s="50" t="s">
        <v>434</v>
      </c>
      <c r="D231" s="8" t="s">
        <v>3159</v>
      </c>
      <c r="E231" s="50" t="s">
        <v>1068</v>
      </c>
      <c r="F231" s="8"/>
      <c r="G231" s="50"/>
      <c r="H231" s="50" t="s">
        <v>1970</v>
      </c>
    </row>
    <row r="232" spans="1:8" x14ac:dyDescent="0.25">
      <c r="A232" s="50" t="s">
        <v>1836</v>
      </c>
      <c r="B232" s="50" t="s">
        <v>226</v>
      </c>
      <c r="C232" s="50" t="s">
        <v>509</v>
      </c>
      <c r="D232" s="8"/>
      <c r="E232" s="50" t="s">
        <v>1068</v>
      </c>
      <c r="F232" s="8"/>
      <c r="G232" s="50"/>
      <c r="H232" s="50" t="s">
        <v>1970</v>
      </c>
    </row>
    <row r="233" spans="1:8" ht="25.5" x14ac:dyDescent="0.25">
      <c r="A233" s="50" t="s">
        <v>1836</v>
      </c>
      <c r="B233" s="50" t="s">
        <v>226</v>
      </c>
      <c r="C233" s="50" t="s">
        <v>448</v>
      </c>
      <c r="D233" s="8" t="s">
        <v>3160</v>
      </c>
      <c r="E233" s="50" t="s">
        <v>1068</v>
      </c>
      <c r="F233" s="8"/>
      <c r="G233" s="50"/>
      <c r="H233" s="50" t="s">
        <v>1970</v>
      </c>
    </row>
    <row r="234" spans="1:8" ht="63.75" x14ac:dyDescent="0.25">
      <c r="A234" s="50" t="s">
        <v>1836</v>
      </c>
      <c r="B234" s="50" t="s">
        <v>226</v>
      </c>
      <c r="C234" s="50" t="s">
        <v>434</v>
      </c>
      <c r="D234" s="8" t="s">
        <v>3161</v>
      </c>
      <c r="E234" s="50" t="s">
        <v>1068</v>
      </c>
      <c r="F234" s="8"/>
      <c r="G234" s="50"/>
      <c r="H234" s="50" t="s">
        <v>1970</v>
      </c>
    </row>
    <row r="235" spans="1:8" ht="38.25" x14ac:dyDescent="0.25">
      <c r="A235" s="50" t="s">
        <v>2195</v>
      </c>
      <c r="B235" s="50" t="s">
        <v>227</v>
      </c>
      <c r="C235" s="50" t="s">
        <v>400</v>
      </c>
      <c r="D235" s="8" t="s">
        <v>3162</v>
      </c>
      <c r="E235" s="50" t="s">
        <v>1068</v>
      </c>
      <c r="F235" s="8"/>
      <c r="G235" s="50"/>
      <c r="H235" s="50" t="s">
        <v>2295</v>
      </c>
    </row>
    <row r="236" spans="1:8" x14ac:dyDescent="0.25">
      <c r="A236" s="50" t="s">
        <v>2195</v>
      </c>
      <c r="B236" s="50" t="s">
        <v>227</v>
      </c>
      <c r="C236" s="50" t="s">
        <v>395</v>
      </c>
      <c r="D236" s="8" t="s">
        <v>3163</v>
      </c>
      <c r="E236" s="50" t="s">
        <v>1068</v>
      </c>
      <c r="F236" s="8"/>
      <c r="G236" s="50"/>
      <c r="H236" s="50" t="s">
        <v>2295</v>
      </c>
    </row>
    <row r="237" spans="1:8" x14ac:dyDescent="0.25">
      <c r="A237" s="50" t="s">
        <v>2195</v>
      </c>
      <c r="B237" s="50" t="s">
        <v>227</v>
      </c>
      <c r="C237" s="50" t="s">
        <v>395</v>
      </c>
      <c r="D237" s="8" t="s">
        <v>3164</v>
      </c>
      <c r="E237" s="50" t="s">
        <v>1068</v>
      </c>
      <c r="F237" s="8"/>
      <c r="G237" s="50"/>
      <c r="H237" s="50" t="s">
        <v>2295</v>
      </c>
    </row>
    <row r="238" spans="1:8" x14ac:dyDescent="0.25">
      <c r="A238" s="50" t="s">
        <v>2195</v>
      </c>
      <c r="B238" s="50" t="s">
        <v>227</v>
      </c>
      <c r="C238" s="50" t="s">
        <v>448</v>
      </c>
      <c r="D238" s="8" t="s">
        <v>3165</v>
      </c>
      <c r="E238" s="50" t="s">
        <v>1068</v>
      </c>
      <c r="F238" s="8"/>
      <c r="G238" s="50"/>
      <c r="H238" s="50" t="s">
        <v>2295</v>
      </c>
    </row>
    <row r="239" spans="1:8" x14ac:dyDescent="0.25">
      <c r="A239" s="50" t="s">
        <v>2195</v>
      </c>
      <c r="B239" s="50" t="s">
        <v>227</v>
      </c>
      <c r="C239" s="50" t="s">
        <v>395</v>
      </c>
      <c r="D239" s="8" t="s">
        <v>3166</v>
      </c>
      <c r="E239" s="50" t="s">
        <v>1068</v>
      </c>
      <c r="F239" s="8"/>
      <c r="G239" s="50"/>
      <c r="H239" s="50" t="s">
        <v>2295</v>
      </c>
    </row>
    <row r="240" spans="1:8" x14ac:dyDescent="0.25">
      <c r="A240" s="50" t="s">
        <v>2195</v>
      </c>
      <c r="B240" s="50" t="s">
        <v>227</v>
      </c>
      <c r="C240" s="50" t="s">
        <v>395</v>
      </c>
      <c r="D240" s="8" t="s">
        <v>3167</v>
      </c>
      <c r="E240" s="50" t="s">
        <v>1068</v>
      </c>
      <c r="F240" s="8"/>
      <c r="G240" s="50"/>
      <c r="H240" s="50" t="s">
        <v>2295</v>
      </c>
    </row>
    <row r="241" spans="1:8" ht="25.5" x14ac:dyDescent="0.25">
      <c r="A241" s="50" t="s">
        <v>2195</v>
      </c>
      <c r="B241" s="50" t="s">
        <v>227</v>
      </c>
      <c r="C241" s="50" t="s">
        <v>395</v>
      </c>
      <c r="D241" s="8" t="s">
        <v>3168</v>
      </c>
      <c r="E241" s="50" t="s">
        <v>1068</v>
      </c>
      <c r="F241" s="8"/>
      <c r="G241" s="50"/>
      <c r="H241" s="50" t="s">
        <v>2295</v>
      </c>
    </row>
    <row r="242" spans="1:8" x14ac:dyDescent="0.25">
      <c r="A242" s="50" t="s">
        <v>2195</v>
      </c>
      <c r="B242" s="50" t="s">
        <v>227</v>
      </c>
      <c r="C242" s="50" t="s">
        <v>395</v>
      </c>
      <c r="D242" s="8" t="s">
        <v>3169</v>
      </c>
      <c r="E242" s="50" t="s">
        <v>1068</v>
      </c>
      <c r="F242" s="8"/>
      <c r="G242" s="50"/>
      <c r="H242" s="50" t="s">
        <v>2295</v>
      </c>
    </row>
    <row r="243" spans="1:8" x14ac:dyDescent="0.25">
      <c r="A243" s="50" t="s">
        <v>2195</v>
      </c>
      <c r="B243" s="50" t="s">
        <v>227</v>
      </c>
      <c r="C243" s="50" t="s">
        <v>395</v>
      </c>
      <c r="D243" s="8" t="s">
        <v>3170</v>
      </c>
      <c r="E243" s="50" t="s">
        <v>1068</v>
      </c>
      <c r="F243" s="8"/>
      <c r="G243" s="50"/>
      <c r="H243" s="50" t="s">
        <v>2295</v>
      </c>
    </row>
    <row r="244" spans="1:8" x14ac:dyDescent="0.25">
      <c r="A244" s="50" t="s">
        <v>2195</v>
      </c>
      <c r="B244" s="50" t="s">
        <v>227</v>
      </c>
      <c r="C244" s="50" t="s">
        <v>395</v>
      </c>
      <c r="D244" s="8" t="s">
        <v>3171</v>
      </c>
      <c r="E244" s="50" t="s">
        <v>1068</v>
      </c>
      <c r="F244" s="8"/>
      <c r="G244" s="50"/>
      <c r="H244" s="50" t="s">
        <v>2295</v>
      </c>
    </row>
    <row r="245" spans="1:8" x14ac:dyDescent="0.25">
      <c r="A245" s="50" t="s">
        <v>2195</v>
      </c>
      <c r="B245" s="50" t="s">
        <v>227</v>
      </c>
      <c r="C245" s="50" t="s">
        <v>395</v>
      </c>
      <c r="D245" s="8" t="s">
        <v>3172</v>
      </c>
      <c r="E245" s="50" t="s">
        <v>1068</v>
      </c>
      <c r="F245" s="8"/>
      <c r="G245" s="50"/>
      <c r="H245" s="50" t="s">
        <v>2295</v>
      </c>
    </row>
    <row r="246" spans="1:8" x14ac:dyDescent="0.25">
      <c r="A246" s="50" t="s">
        <v>2195</v>
      </c>
      <c r="B246" s="50" t="s">
        <v>227</v>
      </c>
      <c r="C246" s="50" t="s">
        <v>395</v>
      </c>
      <c r="D246" s="8" t="s">
        <v>3173</v>
      </c>
      <c r="E246" s="50" t="s">
        <v>1068</v>
      </c>
      <c r="F246" s="8"/>
      <c r="G246" s="50"/>
      <c r="H246" s="50" t="s">
        <v>2295</v>
      </c>
    </row>
    <row r="247" spans="1:8" x14ac:dyDescent="0.25">
      <c r="A247" s="50" t="s">
        <v>2195</v>
      </c>
      <c r="B247" s="50" t="s">
        <v>227</v>
      </c>
      <c r="C247" s="50" t="s">
        <v>395</v>
      </c>
      <c r="D247" s="8" t="s">
        <v>3174</v>
      </c>
      <c r="E247" s="50" t="s">
        <v>1068</v>
      </c>
      <c r="F247" s="8"/>
      <c r="G247" s="50"/>
      <c r="H247" s="50" t="s">
        <v>2295</v>
      </c>
    </row>
    <row r="248" spans="1:8" x14ac:dyDescent="0.25">
      <c r="A248" s="50" t="s">
        <v>2195</v>
      </c>
      <c r="B248" s="50" t="s">
        <v>227</v>
      </c>
      <c r="C248" s="50" t="s">
        <v>395</v>
      </c>
      <c r="D248" s="8" t="s">
        <v>3175</v>
      </c>
      <c r="E248" s="50" t="s">
        <v>1068</v>
      </c>
      <c r="F248" s="8"/>
      <c r="G248" s="50"/>
      <c r="H248" s="50" t="s">
        <v>2295</v>
      </c>
    </row>
    <row r="249" spans="1:8" x14ac:dyDescent="0.25">
      <c r="A249" s="50" t="s">
        <v>2195</v>
      </c>
      <c r="B249" s="50" t="s">
        <v>227</v>
      </c>
      <c r="C249" s="50" t="s">
        <v>395</v>
      </c>
      <c r="D249" s="8" t="s">
        <v>3176</v>
      </c>
      <c r="E249" s="50" t="s">
        <v>1068</v>
      </c>
      <c r="F249" s="8"/>
      <c r="G249" s="50"/>
      <c r="H249" s="50" t="s">
        <v>2295</v>
      </c>
    </row>
    <row r="250" spans="1:8" x14ac:dyDescent="0.25">
      <c r="A250" s="50" t="s">
        <v>2195</v>
      </c>
      <c r="B250" s="50" t="s">
        <v>227</v>
      </c>
      <c r="C250" s="50" t="s">
        <v>448</v>
      </c>
      <c r="D250" s="8" t="s">
        <v>3177</v>
      </c>
      <c r="E250" s="50" t="s">
        <v>1067</v>
      </c>
      <c r="F250" s="8" t="s">
        <v>3178</v>
      </c>
      <c r="G250" s="50">
        <v>0.1</v>
      </c>
      <c r="H250" s="50" t="s">
        <v>2241</v>
      </c>
    </row>
    <row r="251" spans="1:8" x14ac:dyDescent="0.25">
      <c r="A251" s="50" t="s">
        <v>2195</v>
      </c>
      <c r="B251" s="50" t="s">
        <v>227</v>
      </c>
      <c r="C251" s="50" t="s">
        <v>395</v>
      </c>
      <c r="D251" s="8" t="s">
        <v>3179</v>
      </c>
      <c r="E251" s="50" t="s">
        <v>1068</v>
      </c>
      <c r="F251" s="8"/>
      <c r="G251" s="50"/>
      <c r="H251" s="50" t="s">
        <v>2241</v>
      </c>
    </row>
    <row r="252" spans="1:8" x14ac:dyDescent="0.25">
      <c r="A252" s="50" t="s">
        <v>2195</v>
      </c>
      <c r="B252" s="50" t="s">
        <v>227</v>
      </c>
      <c r="C252" s="50" t="s">
        <v>448</v>
      </c>
      <c r="D252" s="8" t="s">
        <v>3180</v>
      </c>
      <c r="E252" s="50" t="s">
        <v>1068</v>
      </c>
      <c r="F252" s="8"/>
      <c r="G252" s="50"/>
      <c r="H252" s="50" t="s">
        <v>2241</v>
      </c>
    </row>
    <row r="253" spans="1:8" x14ac:dyDescent="0.25">
      <c r="A253" s="50" t="s">
        <v>2195</v>
      </c>
      <c r="B253" s="50" t="s">
        <v>227</v>
      </c>
      <c r="C253" s="50" t="s">
        <v>448</v>
      </c>
      <c r="D253" s="8" t="s">
        <v>3181</v>
      </c>
      <c r="E253" s="50" t="s">
        <v>1068</v>
      </c>
      <c r="F253" s="8"/>
      <c r="G253" s="50"/>
      <c r="H253" s="50" t="s">
        <v>2241</v>
      </c>
    </row>
    <row r="254" spans="1:8" x14ac:dyDescent="0.25">
      <c r="A254" s="50" t="s">
        <v>2195</v>
      </c>
      <c r="B254" s="50" t="s">
        <v>227</v>
      </c>
      <c r="C254" s="50" t="s">
        <v>509</v>
      </c>
      <c r="D254" s="8" t="s">
        <v>3182</v>
      </c>
      <c r="E254" s="50" t="s">
        <v>1068</v>
      </c>
      <c r="F254" s="8"/>
      <c r="G254" s="50"/>
      <c r="H254" s="50" t="s">
        <v>2241</v>
      </c>
    </row>
    <row r="255" spans="1:8" x14ac:dyDescent="0.25">
      <c r="A255" s="50" t="s">
        <v>2195</v>
      </c>
      <c r="B255" s="50" t="s">
        <v>227</v>
      </c>
      <c r="C255" s="50" t="s">
        <v>395</v>
      </c>
      <c r="D255" s="8" t="s">
        <v>3183</v>
      </c>
      <c r="E255" s="50" t="s">
        <v>1068</v>
      </c>
      <c r="F255" s="8"/>
      <c r="G255" s="50"/>
      <c r="H255" s="50" t="s">
        <v>2241</v>
      </c>
    </row>
    <row r="256" spans="1:8" x14ac:dyDescent="0.25">
      <c r="A256" s="50" t="s">
        <v>2195</v>
      </c>
      <c r="B256" s="50" t="s">
        <v>227</v>
      </c>
      <c r="C256" s="50" t="s">
        <v>509</v>
      </c>
      <c r="D256" s="8" t="s">
        <v>3184</v>
      </c>
      <c r="E256" s="50" t="s">
        <v>1068</v>
      </c>
      <c r="F256" s="8"/>
      <c r="G256" s="50"/>
      <c r="H256" s="50" t="s">
        <v>2241</v>
      </c>
    </row>
    <row r="257" spans="1:8" x14ac:dyDescent="0.25">
      <c r="A257" s="50" t="s">
        <v>2195</v>
      </c>
      <c r="B257" s="50" t="s">
        <v>227</v>
      </c>
      <c r="C257" s="50" t="s">
        <v>395</v>
      </c>
      <c r="D257" s="8" t="s">
        <v>3185</v>
      </c>
      <c r="E257" s="50" t="s">
        <v>1068</v>
      </c>
      <c r="F257" s="8"/>
      <c r="G257" s="50"/>
      <c r="H257" s="50" t="s">
        <v>2241</v>
      </c>
    </row>
    <row r="258" spans="1:8" x14ac:dyDescent="0.25">
      <c r="A258" s="50" t="s">
        <v>2195</v>
      </c>
      <c r="B258" s="50" t="s">
        <v>227</v>
      </c>
      <c r="C258" s="50" t="s">
        <v>395</v>
      </c>
      <c r="D258" s="8" t="s">
        <v>3186</v>
      </c>
      <c r="E258" s="50" t="s">
        <v>1068</v>
      </c>
      <c r="F258" s="8"/>
      <c r="G258" s="50"/>
      <c r="H258" s="50" t="s">
        <v>2241</v>
      </c>
    </row>
    <row r="259" spans="1:8" x14ac:dyDescent="0.25">
      <c r="A259" s="50" t="s">
        <v>2195</v>
      </c>
      <c r="B259" s="50" t="s">
        <v>227</v>
      </c>
      <c r="C259" s="50" t="s">
        <v>509</v>
      </c>
      <c r="D259" s="8" t="s">
        <v>3187</v>
      </c>
      <c r="E259" s="50" t="s">
        <v>1068</v>
      </c>
      <c r="F259" s="8"/>
      <c r="G259" s="50"/>
      <c r="H259" s="50" t="s">
        <v>2241</v>
      </c>
    </row>
    <row r="260" spans="1:8" ht="51" x14ac:dyDescent="0.25">
      <c r="A260" s="50" t="s">
        <v>2195</v>
      </c>
      <c r="B260" s="50" t="s">
        <v>227</v>
      </c>
      <c r="C260" s="50" t="s">
        <v>395</v>
      </c>
      <c r="D260" s="8" t="s">
        <v>3188</v>
      </c>
      <c r="E260" s="50" t="s">
        <v>1068</v>
      </c>
      <c r="F260" s="8"/>
      <c r="G260" s="50"/>
      <c r="H260" s="50" t="s">
        <v>2241</v>
      </c>
    </row>
    <row r="261" spans="1:8" x14ac:dyDescent="0.25">
      <c r="A261" s="50" t="s">
        <v>2195</v>
      </c>
      <c r="B261" s="50" t="s">
        <v>227</v>
      </c>
      <c r="C261" s="50" t="s">
        <v>395</v>
      </c>
      <c r="D261" s="8" t="s">
        <v>3189</v>
      </c>
      <c r="E261" s="50" t="s">
        <v>1068</v>
      </c>
      <c r="F261" s="8"/>
      <c r="G261" s="50"/>
      <c r="H261" s="50" t="s">
        <v>2241</v>
      </c>
    </row>
    <row r="262" spans="1:8" x14ac:dyDescent="0.25">
      <c r="A262" s="50" t="s">
        <v>2195</v>
      </c>
      <c r="B262" s="50" t="s">
        <v>227</v>
      </c>
      <c r="C262" s="50" t="s">
        <v>395</v>
      </c>
      <c r="D262" s="8" t="s">
        <v>3190</v>
      </c>
      <c r="E262" s="50" t="s">
        <v>1068</v>
      </c>
      <c r="F262" s="8"/>
      <c r="G262" s="50"/>
      <c r="H262" s="50" t="s">
        <v>2241</v>
      </c>
    </row>
    <row r="263" spans="1:8" x14ac:dyDescent="0.25">
      <c r="A263" s="50" t="s">
        <v>2195</v>
      </c>
      <c r="B263" s="50" t="s">
        <v>227</v>
      </c>
      <c r="C263" s="50" t="s">
        <v>448</v>
      </c>
      <c r="D263" s="8" t="s">
        <v>3191</v>
      </c>
      <c r="E263" s="50" t="s">
        <v>1068</v>
      </c>
      <c r="F263" s="8"/>
      <c r="G263" s="50"/>
      <c r="H263" s="50" t="s">
        <v>2241</v>
      </c>
    </row>
    <row r="264" spans="1:8" x14ac:dyDescent="0.25">
      <c r="A264" s="50" t="s">
        <v>2195</v>
      </c>
      <c r="B264" s="50" t="s">
        <v>227</v>
      </c>
      <c r="C264" s="50" t="s">
        <v>395</v>
      </c>
      <c r="D264" s="8" t="s">
        <v>3192</v>
      </c>
      <c r="E264" s="50" t="s">
        <v>1068</v>
      </c>
      <c r="F264" s="8"/>
      <c r="G264" s="50"/>
      <c r="H264" s="50" t="s">
        <v>2241</v>
      </c>
    </row>
    <row r="265" spans="1:8" x14ac:dyDescent="0.25">
      <c r="A265" s="50" t="s">
        <v>2195</v>
      </c>
      <c r="B265" s="50" t="s">
        <v>227</v>
      </c>
      <c r="C265" s="50" t="s">
        <v>395</v>
      </c>
      <c r="D265" s="8" t="s">
        <v>3193</v>
      </c>
      <c r="E265" s="50" t="s">
        <v>1068</v>
      </c>
      <c r="F265" s="8"/>
      <c r="G265" s="50"/>
      <c r="H265" s="50" t="s">
        <v>2447</v>
      </c>
    </row>
    <row r="266" spans="1:8" x14ac:dyDescent="0.25">
      <c r="A266" s="50" t="s">
        <v>2195</v>
      </c>
      <c r="B266" s="50" t="s">
        <v>227</v>
      </c>
      <c r="C266" s="50" t="s">
        <v>400</v>
      </c>
      <c r="D266" s="8" t="s">
        <v>3194</v>
      </c>
      <c r="E266" s="50" t="s">
        <v>1068</v>
      </c>
      <c r="F266" s="8"/>
      <c r="G266" s="50"/>
      <c r="H266" s="50" t="s">
        <v>2447</v>
      </c>
    </row>
    <row r="267" spans="1:8" x14ac:dyDescent="0.25">
      <c r="A267" s="50" t="s">
        <v>2195</v>
      </c>
      <c r="B267" s="50" t="s">
        <v>227</v>
      </c>
      <c r="C267" s="50" t="s">
        <v>509</v>
      </c>
      <c r="D267" s="8" t="s">
        <v>3195</v>
      </c>
      <c r="E267" s="50" t="s">
        <v>1068</v>
      </c>
      <c r="F267" s="8"/>
      <c r="G267" s="50"/>
      <c r="H267" s="50" t="s">
        <v>2447</v>
      </c>
    </row>
    <row r="268" spans="1:8" x14ac:dyDescent="0.25">
      <c r="A268" s="50" t="s">
        <v>2195</v>
      </c>
      <c r="B268" s="50" t="s">
        <v>227</v>
      </c>
      <c r="C268" s="50" t="s">
        <v>509</v>
      </c>
      <c r="D268" s="8" t="s">
        <v>3196</v>
      </c>
      <c r="E268" s="50" t="s">
        <v>1068</v>
      </c>
      <c r="F268" s="8"/>
      <c r="G268" s="50"/>
      <c r="H268" s="50" t="s">
        <v>2447</v>
      </c>
    </row>
    <row r="269" spans="1:8" x14ac:dyDescent="0.25">
      <c r="A269" s="50" t="s">
        <v>2195</v>
      </c>
      <c r="B269" s="50" t="s">
        <v>227</v>
      </c>
      <c r="C269" s="50" t="s">
        <v>509</v>
      </c>
      <c r="D269" s="8" t="s">
        <v>3197</v>
      </c>
      <c r="E269" s="50" t="s">
        <v>1068</v>
      </c>
      <c r="F269" s="8"/>
      <c r="G269" s="50"/>
      <c r="H269" s="50" t="s">
        <v>2447</v>
      </c>
    </row>
    <row r="270" spans="1:8" x14ac:dyDescent="0.25">
      <c r="A270" s="50" t="s">
        <v>2195</v>
      </c>
      <c r="B270" s="50" t="s">
        <v>227</v>
      </c>
      <c r="C270" s="50" t="s">
        <v>509</v>
      </c>
      <c r="D270" s="8" t="s">
        <v>3198</v>
      </c>
      <c r="E270" s="50" t="s">
        <v>1068</v>
      </c>
      <c r="F270" s="8"/>
      <c r="G270" s="50"/>
      <c r="H270" s="50" t="s">
        <v>2447</v>
      </c>
    </row>
    <row r="271" spans="1:8" x14ac:dyDescent="0.25">
      <c r="A271" s="50" t="s">
        <v>2195</v>
      </c>
      <c r="B271" s="50" t="s">
        <v>227</v>
      </c>
      <c r="C271" s="50" t="s">
        <v>509</v>
      </c>
      <c r="D271" s="8" t="s">
        <v>3199</v>
      </c>
      <c r="E271" s="50" t="s">
        <v>1068</v>
      </c>
      <c r="F271" s="8"/>
      <c r="G271" s="50"/>
      <c r="H271" s="50" t="s">
        <v>2447</v>
      </c>
    </row>
    <row r="272" spans="1:8" x14ac:dyDescent="0.25">
      <c r="A272" s="50" t="s">
        <v>2195</v>
      </c>
      <c r="B272" s="50" t="s">
        <v>227</v>
      </c>
      <c r="C272" s="50" t="s">
        <v>509</v>
      </c>
      <c r="D272" s="8" t="s">
        <v>2976</v>
      </c>
      <c r="E272" s="50" t="s">
        <v>1068</v>
      </c>
      <c r="F272" s="8"/>
      <c r="G272" s="50"/>
      <c r="H272" s="50" t="s">
        <v>2447</v>
      </c>
    </row>
    <row r="273" spans="1:8" x14ac:dyDescent="0.25">
      <c r="A273" s="50" t="s">
        <v>2195</v>
      </c>
      <c r="B273" s="50" t="s">
        <v>227</v>
      </c>
      <c r="C273" s="50" t="s">
        <v>509</v>
      </c>
      <c r="D273" s="8" t="s">
        <v>3200</v>
      </c>
      <c r="E273" s="50" t="s">
        <v>1068</v>
      </c>
      <c r="F273" s="8"/>
      <c r="G273" s="50"/>
      <c r="H273" s="50" t="s">
        <v>2447</v>
      </c>
    </row>
    <row r="274" spans="1:8" x14ac:dyDescent="0.25">
      <c r="A274" s="50" t="s">
        <v>2195</v>
      </c>
      <c r="B274" s="50" t="s">
        <v>227</v>
      </c>
      <c r="C274" s="50" t="s">
        <v>509</v>
      </c>
      <c r="D274" s="8" t="s">
        <v>3201</v>
      </c>
      <c r="E274" s="50" t="s">
        <v>1068</v>
      </c>
      <c r="F274" s="8"/>
      <c r="G274" s="50"/>
      <c r="H274" s="50" t="s">
        <v>2447</v>
      </c>
    </row>
    <row r="275" spans="1:8" x14ac:dyDescent="0.25">
      <c r="A275" s="50" t="s">
        <v>2195</v>
      </c>
      <c r="B275" s="50" t="s">
        <v>227</v>
      </c>
      <c r="C275" s="50" t="s">
        <v>395</v>
      </c>
      <c r="D275" s="8" t="s">
        <v>3202</v>
      </c>
      <c r="E275" s="50" t="s">
        <v>1068</v>
      </c>
      <c r="F275" s="8"/>
      <c r="G275" s="50"/>
      <c r="H275" s="50" t="s">
        <v>2447</v>
      </c>
    </row>
    <row r="276" spans="1:8" x14ac:dyDescent="0.25">
      <c r="A276" s="50" t="s">
        <v>2195</v>
      </c>
      <c r="B276" s="50" t="s">
        <v>227</v>
      </c>
      <c r="C276" s="50" t="s">
        <v>395</v>
      </c>
      <c r="D276" s="8" t="s">
        <v>3203</v>
      </c>
      <c r="E276" s="50" t="s">
        <v>1068</v>
      </c>
      <c r="F276" s="8"/>
      <c r="G276" s="50"/>
      <c r="H276" s="50" t="s">
        <v>2447</v>
      </c>
    </row>
    <row r="277" spans="1:8" x14ac:dyDescent="0.25">
      <c r="A277" s="50" t="s">
        <v>2195</v>
      </c>
      <c r="B277" s="50" t="s">
        <v>227</v>
      </c>
      <c r="C277" s="50" t="s">
        <v>509</v>
      </c>
      <c r="D277" s="8" t="s">
        <v>3051</v>
      </c>
      <c r="E277" s="50" t="s">
        <v>1068</v>
      </c>
      <c r="F277" s="8"/>
      <c r="G277" s="50"/>
      <c r="H277" s="50" t="s">
        <v>2447</v>
      </c>
    </row>
    <row r="278" spans="1:8" x14ac:dyDescent="0.25">
      <c r="A278" s="50" t="s">
        <v>2195</v>
      </c>
      <c r="B278" s="50" t="s">
        <v>227</v>
      </c>
      <c r="C278" s="50" t="s">
        <v>509</v>
      </c>
      <c r="D278" s="8" t="s">
        <v>3099</v>
      </c>
      <c r="E278" s="50" t="s">
        <v>1068</v>
      </c>
      <c r="F278" s="8"/>
      <c r="G278" s="50"/>
      <c r="H278" s="50" t="s">
        <v>2447</v>
      </c>
    </row>
    <row r="279" spans="1:8" x14ac:dyDescent="0.25">
      <c r="A279" s="50" t="s">
        <v>2195</v>
      </c>
      <c r="B279" s="50" t="s">
        <v>227</v>
      </c>
      <c r="C279" s="50" t="s">
        <v>395</v>
      </c>
      <c r="D279" s="8" t="s">
        <v>3204</v>
      </c>
      <c r="E279" s="50" t="s">
        <v>1068</v>
      </c>
      <c r="F279" s="8"/>
      <c r="G279" s="50"/>
      <c r="H279" s="50" t="s">
        <v>2378</v>
      </c>
    </row>
    <row r="280" spans="1:8" x14ac:dyDescent="0.25">
      <c r="A280" s="50" t="s">
        <v>2195</v>
      </c>
      <c r="B280" s="50" t="s">
        <v>227</v>
      </c>
      <c r="C280" s="50" t="s">
        <v>395</v>
      </c>
      <c r="D280" s="8" t="s">
        <v>3205</v>
      </c>
      <c r="E280" s="50" t="s">
        <v>1068</v>
      </c>
      <c r="F280" s="8"/>
      <c r="G280" s="50"/>
      <c r="H280" s="50" t="s">
        <v>2378</v>
      </c>
    </row>
    <row r="281" spans="1:8" x14ac:dyDescent="0.25">
      <c r="A281" s="50" t="s">
        <v>2195</v>
      </c>
      <c r="B281" s="50" t="s">
        <v>227</v>
      </c>
      <c r="C281" s="50" t="s">
        <v>395</v>
      </c>
      <c r="D281" s="8" t="s">
        <v>3206</v>
      </c>
      <c r="E281" s="50" t="s">
        <v>1068</v>
      </c>
      <c r="F281" s="8"/>
      <c r="G281" s="50"/>
      <c r="H281" s="50" t="s">
        <v>2378</v>
      </c>
    </row>
    <row r="282" spans="1:8" x14ac:dyDescent="0.25">
      <c r="A282" s="50" t="s">
        <v>2195</v>
      </c>
      <c r="B282" s="50" t="s">
        <v>227</v>
      </c>
      <c r="C282" s="50" t="s">
        <v>395</v>
      </c>
      <c r="D282" s="8" t="s">
        <v>3207</v>
      </c>
      <c r="E282" s="50" t="s">
        <v>1068</v>
      </c>
      <c r="F282" s="8"/>
      <c r="G282" s="50"/>
      <c r="H282" s="50" t="s">
        <v>2378</v>
      </c>
    </row>
    <row r="283" spans="1:8" x14ac:dyDescent="0.25">
      <c r="A283" s="50" t="s">
        <v>2195</v>
      </c>
      <c r="B283" s="50" t="s">
        <v>227</v>
      </c>
      <c r="C283" s="50" t="s">
        <v>395</v>
      </c>
      <c r="D283" s="8" t="s">
        <v>3208</v>
      </c>
      <c r="E283" s="50" t="s">
        <v>1068</v>
      </c>
      <c r="F283" s="8"/>
      <c r="G283" s="50"/>
      <c r="H283" s="50" t="s">
        <v>2378</v>
      </c>
    </row>
    <row r="284" spans="1:8" x14ac:dyDescent="0.25">
      <c r="A284" s="50" t="s">
        <v>2195</v>
      </c>
      <c r="B284" s="50" t="s">
        <v>227</v>
      </c>
      <c r="C284" s="50" t="s">
        <v>509</v>
      </c>
      <c r="D284" s="8" t="s">
        <v>3056</v>
      </c>
      <c r="E284" s="50" t="s">
        <v>1068</v>
      </c>
      <c r="F284" s="8"/>
      <c r="G284" s="50"/>
      <c r="H284" s="50" t="s">
        <v>2378</v>
      </c>
    </row>
    <row r="285" spans="1:8" x14ac:dyDescent="0.25">
      <c r="A285" s="50" t="s">
        <v>2195</v>
      </c>
      <c r="B285" s="50" t="s">
        <v>227</v>
      </c>
      <c r="C285" s="50" t="s">
        <v>509</v>
      </c>
      <c r="D285" s="8" t="s">
        <v>3209</v>
      </c>
      <c r="E285" s="50" t="s">
        <v>1068</v>
      </c>
      <c r="F285" s="8"/>
      <c r="G285" s="50"/>
      <c r="H285" s="50" t="s">
        <v>2378</v>
      </c>
    </row>
    <row r="286" spans="1:8" x14ac:dyDescent="0.25">
      <c r="A286" s="50" t="s">
        <v>2195</v>
      </c>
      <c r="B286" s="50" t="s">
        <v>227</v>
      </c>
      <c r="C286" s="50" t="s">
        <v>509</v>
      </c>
      <c r="D286" s="8" t="s">
        <v>3000</v>
      </c>
      <c r="E286" s="50" t="s">
        <v>1068</v>
      </c>
      <c r="F286" s="8"/>
      <c r="G286" s="50"/>
      <c r="H286" s="50" t="s">
        <v>2378</v>
      </c>
    </row>
    <row r="287" spans="1:8" x14ac:dyDescent="0.25">
      <c r="A287" s="50" t="s">
        <v>2195</v>
      </c>
      <c r="B287" s="50" t="s">
        <v>227</v>
      </c>
      <c r="C287" s="50" t="s">
        <v>395</v>
      </c>
      <c r="D287" s="8" t="s">
        <v>3210</v>
      </c>
      <c r="E287" s="50" t="s">
        <v>1068</v>
      </c>
      <c r="F287" s="8"/>
      <c r="G287" s="50"/>
      <c r="H287" s="50" t="s">
        <v>2378</v>
      </c>
    </row>
    <row r="288" spans="1:8" ht="38.25" x14ac:dyDescent="0.25">
      <c r="A288" s="50" t="s">
        <v>2195</v>
      </c>
      <c r="B288" s="50" t="s">
        <v>227</v>
      </c>
      <c r="C288" s="50" t="s">
        <v>395</v>
      </c>
      <c r="D288" s="8" t="s">
        <v>3211</v>
      </c>
      <c r="E288" s="50" t="s">
        <v>1068</v>
      </c>
      <c r="F288" s="8"/>
      <c r="G288" s="50"/>
      <c r="H288" s="50" t="s">
        <v>2378</v>
      </c>
    </row>
    <row r="289" spans="1:8" x14ac:dyDescent="0.25">
      <c r="A289" s="50" t="s">
        <v>2195</v>
      </c>
      <c r="B289" s="50" t="s">
        <v>227</v>
      </c>
      <c r="C289" s="50" t="s">
        <v>509</v>
      </c>
      <c r="D289" s="8" t="s">
        <v>3099</v>
      </c>
      <c r="E289" s="50" t="s">
        <v>1068</v>
      </c>
      <c r="F289" s="8"/>
      <c r="G289" s="50"/>
      <c r="H289" s="50" t="s">
        <v>2378</v>
      </c>
    </row>
    <row r="290" spans="1:8" x14ac:dyDescent="0.25">
      <c r="A290" s="50" t="s">
        <v>2195</v>
      </c>
      <c r="B290" s="50" t="s">
        <v>227</v>
      </c>
      <c r="C290" s="50" t="s">
        <v>395</v>
      </c>
      <c r="D290" s="8" t="s">
        <v>3212</v>
      </c>
      <c r="E290" s="50" t="s">
        <v>1068</v>
      </c>
      <c r="F290" s="8"/>
      <c r="G290" s="50"/>
      <c r="H290" s="50" t="s">
        <v>2378</v>
      </c>
    </row>
    <row r="291" spans="1:8" x14ac:dyDescent="0.25">
      <c r="A291" s="50" t="s">
        <v>2195</v>
      </c>
      <c r="B291" s="50" t="s">
        <v>227</v>
      </c>
      <c r="C291" s="50" t="s">
        <v>395</v>
      </c>
      <c r="D291" s="8" t="s">
        <v>3213</v>
      </c>
      <c r="E291" s="50" t="s">
        <v>1068</v>
      </c>
      <c r="F291" s="8"/>
      <c r="G291" s="50"/>
      <c r="H291" s="50" t="s">
        <v>2378</v>
      </c>
    </row>
    <row r="292" spans="1:8" x14ac:dyDescent="0.25">
      <c r="A292" s="50" t="s">
        <v>2195</v>
      </c>
      <c r="B292" s="50" t="s">
        <v>227</v>
      </c>
      <c r="C292" s="50" t="s">
        <v>448</v>
      </c>
      <c r="D292" s="8" t="s">
        <v>3214</v>
      </c>
      <c r="E292" s="50" t="s">
        <v>1068</v>
      </c>
      <c r="F292" s="8"/>
      <c r="G292" s="50"/>
      <c r="H292" s="50" t="s">
        <v>2378</v>
      </c>
    </row>
    <row r="293" spans="1:8" x14ac:dyDescent="0.25">
      <c r="A293" s="50" t="s">
        <v>2195</v>
      </c>
      <c r="B293" s="50" t="s">
        <v>227</v>
      </c>
      <c r="C293" s="50" t="s">
        <v>509</v>
      </c>
      <c r="D293" s="8" t="s">
        <v>3051</v>
      </c>
      <c r="E293" s="50" t="s">
        <v>1068</v>
      </c>
      <c r="F293" s="8"/>
      <c r="G293" s="50"/>
      <c r="H293" s="50" t="s">
        <v>2497</v>
      </c>
    </row>
    <row r="294" spans="1:8" x14ac:dyDescent="0.25">
      <c r="A294" s="50" t="s">
        <v>2195</v>
      </c>
      <c r="B294" s="50" t="s">
        <v>227</v>
      </c>
      <c r="C294" s="50" t="s">
        <v>448</v>
      </c>
      <c r="D294" s="8" t="s">
        <v>3215</v>
      </c>
      <c r="E294" s="50" t="s">
        <v>1068</v>
      </c>
      <c r="F294" s="8"/>
      <c r="G294" s="50"/>
      <c r="H294" s="50" t="s">
        <v>2497</v>
      </c>
    </row>
    <row r="295" spans="1:8" x14ac:dyDescent="0.25">
      <c r="A295" s="50" t="s">
        <v>2195</v>
      </c>
      <c r="B295" s="50" t="s">
        <v>227</v>
      </c>
      <c r="C295" s="50" t="s">
        <v>400</v>
      </c>
      <c r="D295" s="8" t="s">
        <v>3216</v>
      </c>
      <c r="E295" s="50" t="s">
        <v>1068</v>
      </c>
      <c r="F295" s="8"/>
      <c r="G295" s="50"/>
      <c r="H295" s="50" t="s">
        <v>2497</v>
      </c>
    </row>
    <row r="296" spans="1:8" x14ac:dyDescent="0.25">
      <c r="A296" s="50" t="s">
        <v>2195</v>
      </c>
      <c r="B296" s="50" t="s">
        <v>227</v>
      </c>
      <c r="C296" s="50" t="s">
        <v>448</v>
      </c>
      <c r="D296" s="8" t="s">
        <v>3217</v>
      </c>
      <c r="E296" s="50" t="s">
        <v>1068</v>
      </c>
      <c r="F296" s="8"/>
      <c r="G296" s="50"/>
      <c r="H296" s="50" t="s">
        <v>2497</v>
      </c>
    </row>
    <row r="297" spans="1:8" x14ac:dyDescent="0.25">
      <c r="A297" s="50" t="s">
        <v>2195</v>
      </c>
      <c r="B297" s="50" t="s">
        <v>227</v>
      </c>
      <c r="C297" s="50" t="s">
        <v>448</v>
      </c>
      <c r="D297" s="8" t="s">
        <v>3218</v>
      </c>
      <c r="E297" s="50" t="s">
        <v>1068</v>
      </c>
      <c r="F297" s="8"/>
      <c r="G297" s="50"/>
      <c r="H297" s="50" t="s">
        <v>2497</v>
      </c>
    </row>
    <row r="298" spans="1:8" x14ac:dyDescent="0.25">
      <c r="A298" s="50" t="s">
        <v>2195</v>
      </c>
      <c r="B298" s="50" t="s">
        <v>227</v>
      </c>
      <c r="C298" s="50" t="s">
        <v>395</v>
      </c>
      <c r="D298" s="8" t="s">
        <v>3219</v>
      </c>
      <c r="E298" s="50" t="s">
        <v>1068</v>
      </c>
      <c r="F298" s="8"/>
      <c r="G298" s="50"/>
      <c r="H298" s="50" t="s">
        <v>2497</v>
      </c>
    </row>
    <row r="299" spans="1:8" x14ac:dyDescent="0.25">
      <c r="A299" s="50" t="s">
        <v>2195</v>
      </c>
      <c r="B299" s="50" t="s">
        <v>227</v>
      </c>
      <c r="C299" s="50" t="s">
        <v>448</v>
      </c>
      <c r="D299" s="8" t="s">
        <v>3220</v>
      </c>
      <c r="E299" s="50" t="s">
        <v>1068</v>
      </c>
      <c r="F299" s="8"/>
      <c r="G299" s="50"/>
      <c r="H299" s="50" t="s">
        <v>2497</v>
      </c>
    </row>
    <row r="300" spans="1:8" x14ac:dyDescent="0.25">
      <c r="A300" s="50" t="s">
        <v>2195</v>
      </c>
      <c r="B300" s="50" t="s">
        <v>227</v>
      </c>
      <c r="C300" s="50" t="s">
        <v>448</v>
      </c>
      <c r="D300" s="8" t="s">
        <v>3221</v>
      </c>
      <c r="E300" s="50" t="s">
        <v>1068</v>
      </c>
      <c r="F300" s="8"/>
      <c r="G300" s="50"/>
      <c r="H300" s="50" t="s">
        <v>2497</v>
      </c>
    </row>
    <row r="301" spans="1:8" x14ac:dyDescent="0.25">
      <c r="A301" s="50" t="s">
        <v>2195</v>
      </c>
      <c r="B301" s="50" t="s">
        <v>227</v>
      </c>
      <c r="C301" s="50" t="s">
        <v>448</v>
      </c>
      <c r="D301" s="8" t="s">
        <v>3222</v>
      </c>
      <c r="E301" s="50" t="s">
        <v>1068</v>
      </c>
      <c r="F301" s="8"/>
      <c r="G301" s="50"/>
      <c r="H301" s="50" t="s">
        <v>2497</v>
      </c>
    </row>
    <row r="302" spans="1:8" x14ac:dyDescent="0.25">
      <c r="A302" s="50" t="s">
        <v>2195</v>
      </c>
      <c r="B302" s="50" t="s">
        <v>227</v>
      </c>
      <c r="C302" s="50" t="s">
        <v>395</v>
      </c>
      <c r="D302" s="8" t="s">
        <v>3223</v>
      </c>
      <c r="E302" s="50" t="s">
        <v>1067</v>
      </c>
      <c r="F302" s="8" t="s">
        <v>3224</v>
      </c>
      <c r="G302" s="50">
        <v>0.1</v>
      </c>
      <c r="H302" s="50" t="s">
        <v>2497</v>
      </c>
    </row>
    <row r="303" spans="1:8" x14ac:dyDescent="0.25">
      <c r="A303" s="50" t="s">
        <v>2195</v>
      </c>
      <c r="B303" s="50" t="s">
        <v>227</v>
      </c>
      <c r="C303" s="50" t="s">
        <v>448</v>
      </c>
      <c r="D303" s="8" t="s">
        <v>3225</v>
      </c>
      <c r="E303" s="50" t="s">
        <v>1068</v>
      </c>
      <c r="F303" s="8"/>
      <c r="G303" s="50"/>
      <c r="H303" s="50" t="s">
        <v>2260</v>
      </c>
    </row>
    <row r="304" spans="1:8" x14ac:dyDescent="0.25">
      <c r="A304" s="50" t="s">
        <v>2195</v>
      </c>
      <c r="B304" s="50" t="s">
        <v>227</v>
      </c>
      <c r="C304" s="50" t="s">
        <v>395</v>
      </c>
      <c r="D304" s="8" t="s">
        <v>3226</v>
      </c>
      <c r="E304" s="50" t="s">
        <v>1068</v>
      </c>
      <c r="F304" s="8"/>
      <c r="G304" s="50"/>
      <c r="H304" s="50" t="s">
        <v>2260</v>
      </c>
    </row>
    <row r="305" spans="1:8" x14ac:dyDescent="0.25">
      <c r="A305" s="50" t="s">
        <v>2195</v>
      </c>
      <c r="B305" s="50" t="s">
        <v>227</v>
      </c>
      <c r="C305" s="50" t="s">
        <v>395</v>
      </c>
      <c r="D305" s="8" t="s">
        <v>3227</v>
      </c>
      <c r="E305" s="50" t="s">
        <v>1068</v>
      </c>
      <c r="F305" s="8"/>
      <c r="G305" s="50"/>
      <c r="H305" s="50" t="s">
        <v>2260</v>
      </c>
    </row>
    <row r="306" spans="1:8" x14ac:dyDescent="0.25">
      <c r="A306" s="50" t="s">
        <v>2195</v>
      </c>
      <c r="B306" s="50" t="s">
        <v>227</v>
      </c>
      <c r="C306" s="50" t="s">
        <v>395</v>
      </c>
      <c r="D306" s="8" t="s">
        <v>3228</v>
      </c>
      <c r="E306" s="50" t="s">
        <v>1068</v>
      </c>
      <c r="F306" s="8"/>
      <c r="G306" s="50"/>
      <c r="H306" s="50" t="s">
        <v>2260</v>
      </c>
    </row>
    <row r="307" spans="1:8" x14ac:dyDescent="0.25">
      <c r="A307" s="50" t="s">
        <v>2195</v>
      </c>
      <c r="B307" s="50" t="s">
        <v>227</v>
      </c>
      <c r="C307" s="50" t="s">
        <v>448</v>
      </c>
      <c r="D307" s="8" t="s">
        <v>3229</v>
      </c>
      <c r="E307" s="50" t="s">
        <v>1068</v>
      </c>
      <c r="F307" s="8"/>
      <c r="G307" s="50"/>
      <c r="H307" s="50" t="s">
        <v>2260</v>
      </c>
    </row>
    <row r="308" spans="1:8" x14ac:dyDescent="0.25">
      <c r="A308" s="50" t="s">
        <v>2195</v>
      </c>
      <c r="B308" s="50" t="s">
        <v>227</v>
      </c>
      <c r="C308" s="50" t="s">
        <v>395</v>
      </c>
      <c r="D308" s="8" t="s">
        <v>3230</v>
      </c>
      <c r="E308" s="50" t="s">
        <v>1068</v>
      </c>
      <c r="F308" s="8"/>
      <c r="G308" s="50"/>
      <c r="H308" s="50" t="s">
        <v>2260</v>
      </c>
    </row>
    <row r="309" spans="1:8" x14ac:dyDescent="0.25">
      <c r="A309" s="50" t="s">
        <v>2195</v>
      </c>
      <c r="B309" s="50" t="s">
        <v>227</v>
      </c>
      <c r="C309" s="50" t="s">
        <v>395</v>
      </c>
      <c r="D309" s="8" t="s">
        <v>3231</v>
      </c>
      <c r="E309" s="50" t="s">
        <v>1068</v>
      </c>
      <c r="F309" s="8"/>
      <c r="G309" s="50"/>
      <c r="H309" s="50" t="s">
        <v>2264</v>
      </c>
    </row>
    <row r="310" spans="1:8" x14ac:dyDescent="0.25">
      <c r="A310" s="50" t="s">
        <v>2195</v>
      </c>
      <c r="B310" s="50" t="s">
        <v>227</v>
      </c>
      <c r="C310" s="50" t="s">
        <v>395</v>
      </c>
      <c r="D310" s="8" t="s">
        <v>3232</v>
      </c>
      <c r="E310" s="50" t="s">
        <v>1068</v>
      </c>
      <c r="F310" s="8"/>
      <c r="G310" s="50"/>
      <c r="H310" s="50" t="s">
        <v>2264</v>
      </c>
    </row>
    <row r="311" spans="1:8" x14ac:dyDescent="0.25">
      <c r="A311" s="50" t="s">
        <v>2195</v>
      </c>
      <c r="B311" s="50" t="s">
        <v>227</v>
      </c>
      <c r="C311" s="50" t="s">
        <v>395</v>
      </c>
      <c r="D311" s="8" t="s">
        <v>3233</v>
      </c>
      <c r="E311" s="50" t="s">
        <v>1068</v>
      </c>
      <c r="F311" s="8"/>
      <c r="G311" s="50"/>
      <c r="H311" s="50" t="s">
        <v>2264</v>
      </c>
    </row>
    <row r="312" spans="1:8" x14ac:dyDescent="0.25">
      <c r="A312" s="50" t="s">
        <v>2195</v>
      </c>
      <c r="B312" s="50" t="s">
        <v>227</v>
      </c>
      <c r="C312" s="50" t="s">
        <v>448</v>
      </c>
      <c r="D312" s="8" t="s">
        <v>3234</v>
      </c>
      <c r="E312" s="50" t="s">
        <v>1068</v>
      </c>
      <c r="F312" s="8"/>
      <c r="G312" s="50"/>
      <c r="H312" s="50" t="s">
        <v>2264</v>
      </c>
    </row>
    <row r="313" spans="1:8" x14ac:dyDescent="0.25">
      <c r="A313" s="50" t="s">
        <v>2195</v>
      </c>
      <c r="B313" s="50" t="s">
        <v>227</v>
      </c>
      <c r="C313" s="50" t="s">
        <v>395</v>
      </c>
      <c r="D313" s="8" t="s">
        <v>3235</v>
      </c>
      <c r="E313" s="50" t="s">
        <v>1068</v>
      </c>
      <c r="F313" s="8"/>
      <c r="G313" s="50"/>
      <c r="H313" s="50" t="s">
        <v>2264</v>
      </c>
    </row>
    <row r="314" spans="1:8" ht="38.25" x14ac:dyDescent="0.25">
      <c r="A314" s="50" t="s">
        <v>2195</v>
      </c>
      <c r="B314" s="50" t="s">
        <v>227</v>
      </c>
      <c r="C314" s="50" t="s">
        <v>395</v>
      </c>
      <c r="D314" s="8" t="s">
        <v>3236</v>
      </c>
      <c r="E314" s="50" t="s">
        <v>1068</v>
      </c>
      <c r="F314" s="8"/>
      <c r="G314" s="50"/>
      <c r="H314" s="50" t="s">
        <v>2264</v>
      </c>
    </row>
    <row r="315" spans="1:8" x14ac:dyDescent="0.25">
      <c r="A315" s="50" t="s">
        <v>2195</v>
      </c>
      <c r="B315" s="50" t="s">
        <v>227</v>
      </c>
      <c r="C315" s="50" t="s">
        <v>395</v>
      </c>
      <c r="D315" s="8" t="s">
        <v>3237</v>
      </c>
      <c r="E315" s="50" t="s">
        <v>1068</v>
      </c>
      <c r="F315" s="8"/>
      <c r="G315" s="50"/>
      <c r="H315" s="50" t="s">
        <v>2264</v>
      </c>
    </row>
    <row r="316" spans="1:8" x14ac:dyDescent="0.25">
      <c r="A316" s="50" t="s">
        <v>2195</v>
      </c>
      <c r="B316" s="50" t="s">
        <v>227</v>
      </c>
      <c r="C316" s="50" t="s">
        <v>448</v>
      </c>
      <c r="D316" s="8" t="s">
        <v>3238</v>
      </c>
      <c r="E316" s="50" t="s">
        <v>1068</v>
      </c>
      <c r="F316" s="8"/>
      <c r="G316" s="50"/>
      <c r="H316" s="50" t="s">
        <v>2264</v>
      </c>
    </row>
    <row r="317" spans="1:8" x14ac:dyDescent="0.25">
      <c r="A317" s="50" t="s">
        <v>2195</v>
      </c>
      <c r="B317" s="50" t="s">
        <v>227</v>
      </c>
      <c r="C317" s="50" t="s">
        <v>395</v>
      </c>
      <c r="D317" s="8" t="s">
        <v>3239</v>
      </c>
      <c r="E317" s="50" t="s">
        <v>1068</v>
      </c>
      <c r="F317" s="8"/>
      <c r="G317" s="50"/>
      <c r="H317" s="50" t="s">
        <v>2264</v>
      </c>
    </row>
    <row r="318" spans="1:8" x14ac:dyDescent="0.25">
      <c r="A318" s="50" t="s">
        <v>2195</v>
      </c>
      <c r="B318" s="50" t="s">
        <v>227</v>
      </c>
      <c r="C318" s="50" t="s">
        <v>509</v>
      </c>
      <c r="D318" s="8" t="s">
        <v>3240</v>
      </c>
      <c r="E318" s="50" t="s">
        <v>1068</v>
      </c>
      <c r="F318" s="8"/>
      <c r="G318" s="50"/>
      <c r="H318" s="50" t="s">
        <v>2284</v>
      </c>
    </row>
    <row r="319" spans="1:8" x14ac:dyDescent="0.25">
      <c r="A319" s="50" t="s">
        <v>2195</v>
      </c>
      <c r="B319" s="50" t="s">
        <v>227</v>
      </c>
      <c r="C319" s="50" t="s">
        <v>509</v>
      </c>
      <c r="D319" s="8" t="s">
        <v>3241</v>
      </c>
      <c r="E319" s="50" t="s">
        <v>1068</v>
      </c>
      <c r="F319" s="8"/>
      <c r="G319" s="50"/>
      <c r="H319" s="50" t="s">
        <v>2284</v>
      </c>
    </row>
    <row r="320" spans="1:8" x14ac:dyDescent="0.25">
      <c r="A320" s="50" t="s">
        <v>2195</v>
      </c>
      <c r="B320" s="50" t="s">
        <v>227</v>
      </c>
      <c r="C320" s="50" t="s">
        <v>448</v>
      </c>
      <c r="D320" s="8" t="s">
        <v>3242</v>
      </c>
      <c r="E320" s="50" t="s">
        <v>1068</v>
      </c>
      <c r="F320" s="8"/>
      <c r="G320" s="50"/>
      <c r="H320" s="50" t="s">
        <v>2284</v>
      </c>
    </row>
    <row r="321" spans="1:8" x14ac:dyDescent="0.25">
      <c r="A321" s="50" t="s">
        <v>2195</v>
      </c>
      <c r="B321" s="50" t="s">
        <v>227</v>
      </c>
      <c r="C321" s="50" t="s">
        <v>448</v>
      </c>
      <c r="D321" s="8" t="s">
        <v>3243</v>
      </c>
      <c r="E321" s="50" t="s">
        <v>1068</v>
      </c>
      <c r="F321" s="8"/>
      <c r="G321" s="50"/>
      <c r="H321" s="50" t="s">
        <v>2284</v>
      </c>
    </row>
    <row r="322" spans="1:8" x14ac:dyDescent="0.25">
      <c r="A322" s="50" t="s">
        <v>2195</v>
      </c>
      <c r="B322" s="50" t="s">
        <v>227</v>
      </c>
      <c r="C322" s="50" t="s">
        <v>509</v>
      </c>
      <c r="D322" s="8" t="s">
        <v>3244</v>
      </c>
      <c r="E322" s="50" t="s">
        <v>1068</v>
      </c>
      <c r="F322" s="8"/>
      <c r="G322" s="50"/>
      <c r="H322" s="50" t="s">
        <v>2284</v>
      </c>
    </row>
    <row r="323" spans="1:8" x14ac:dyDescent="0.25">
      <c r="A323" s="50" t="s">
        <v>2195</v>
      </c>
      <c r="B323" s="50" t="s">
        <v>227</v>
      </c>
      <c r="C323" s="50" t="s">
        <v>509</v>
      </c>
      <c r="D323" s="8" t="s">
        <v>2976</v>
      </c>
      <c r="E323" s="50" t="s">
        <v>1068</v>
      </c>
      <c r="F323" s="8"/>
      <c r="G323" s="50"/>
      <c r="H323" s="50" t="s">
        <v>3245</v>
      </c>
    </row>
    <row r="324" spans="1:8" ht="25.5" x14ac:dyDescent="0.25">
      <c r="A324" s="50" t="s">
        <v>2195</v>
      </c>
      <c r="B324" s="50" t="s">
        <v>227</v>
      </c>
      <c r="C324" s="50" t="s">
        <v>395</v>
      </c>
      <c r="D324" s="8" t="s">
        <v>3246</v>
      </c>
      <c r="E324" s="50" t="s">
        <v>1068</v>
      </c>
      <c r="F324" s="8"/>
      <c r="G324" s="50"/>
      <c r="H324" s="50" t="s">
        <v>3245</v>
      </c>
    </row>
    <row r="325" spans="1:8" x14ac:dyDescent="0.25">
      <c r="A325" s="50" t="s">
        <v>2195</v>
      </c>
      <c r="B325" s="50" t="s">
        <v>227</v>
      </c>
      <c r="C325" s="50" t="s">
        <v>395</v>
      </c>
      <c r="D325" s="8" t="s">
        <v>3247</v>
      </c>
      <c r="E325" s="50" t="s">
        <v>1068</v>
      </c>
      <c r="F325" s="8"/>
      <c r="G325" s="50"/>
      <c r="H325" s="50" t="s">
        <v>3245</v>
      </c>
    </row>
    <row r="326" spans="1:8" x14ac:dyDescent="0.25">
      <c r="A326" s="50" t="s">
        <v>2195</v>
      </c>
      <c r="B326" s="50" t="s">
        <v>227</v>
      </c>
      <c r="C326" s="50" t="s">
        <v>395</v>
      </c>
      <c r="D326" s="8" t="s">
        <v>3248</v>
      </c>
      <c r="E326" s="50" t="s">
        <v>1068</v>
      </c>
      <c r="F326" s="8"/>
      <c r="G326" s="50"/>
      <c r="H326" s="50" t="s">
        <v>3245</v>
      </c>
    </row>
    <row r="327" spans="1:8" x14ac:dyDescent="0.25">
      <c r="A327" s="50" t="s">
        <v>2195</v>
      </c>
      <c r="B327" s="50" t="s">
        <v>227</v>
      </c>
      <c r="C327" s="50" t="s">
        <v>395</v>
      </c>
      <c r="D327" s="8" t="s">
        <v>3249</v>
      </c>
      <c r="E327" s="50" t="s">
        <v>1068</v>
      </c>
      <c r="F327" s="8"/>
      <c r="G327" s="50"/>
      <c r="H327" s="50" t="s">
        <v>3245</v>
      </c>
    </row>
    <row r="328" spans="1:8" x14ac:dyDescent="0.25">
      <c r="A328" s="50" t="s">
        <v>2195</v>
      </c>
      <c r="B328" s="50" t="s">
        <v>227</v>
      </c>
      <c r="C328" s="50" t="s">
        <v>395</v>
      </c>
      <c r="D328" s="8" t="s">
        <v>3250</v>
      </c>
      <c r="E328" s="50" t="s">
        <v>1068</v>
      </c>
      <c r="F328" s="8"/>
      <c r="G328" s="50"/>
      <c r="H328" s="50" t="s">
        <v>3245</v>
      </c>
    </row>
    <row r="329" spans="1:8" x14ac:dyDescent="0.25">
      <c r="A329" s="50" t="s">
        <v>2195</v>
      </c>
      <c r="B329" s="50" t="s">
        <v>227</v>
      </c>
      <c r="C329" s="50" t="s">
        <v>395</v>
      </c>
      <c r="D329" s="8" t="s">
        <v>3251</v>
      </c>
      <c r="E329" s="50" t="s">
        <v>1068</v>
      </c>
      <c r="F329" s="8"/>
      <c r="G329" s="50"/>
      <c r="H329" s="50" t="s">
        <v>3245</v>
      </c>
    </row>
    <row r="330" spans="1:8" x14ac:dyDescent="0.25">
      <c r="A330" s="50" t="s">
        <v>2195</v>
      </c>
      <c r="B330" s="50" t="s">
        <v>227</v>
      </c>
      <c r="C330" s="50" t="s">
        <v>448</v>
      </c>
      <c r="D330" s="8" t="s">
        <v>3252</v>
      </c>
      <c r="E330" s="50" t="s">
        <v>1068</v>
      </c>
      <c r="F330" s="8"/>
      <c r="G330" s="50"/>
      <c r="H330" s="50" t="s">
        <v>2267</v>
      </c>
    </row>
    <row r="331" spans="1:8" x14ac:dyDescent="0.25">
      <c r="A331" s="50" t="s">
        <v>2195</v>
      </c>
      <c r="B331" s="50" t="s">
        <v>227</v>
      </c>
      <c r="C331" s="50" t="s">
        <v>395</v>
      </c>
      <c r="D331" s="8" t="s">
        <v>3253</v>
      </c>
      <c r="E331" s="50" t="s">
        <v>1068</v>
      </c>
      <c r="F331" s="8"/>
      <c r="G331" s="50"/>
      <c r="H331" s="50" t="s">
        <v>2267</v>
      </c>
    </row>
    <row r="332" spans="1:8" ht="38.25" x14ac:dyDescent="0.25">
      <c r="A332" s="50" t="s">
        <v>2195</v>
      </c>
      <c r="B332" s="50" t="s">
        <v>227</v>
      </c>
      <c r="C332" s="50" t="s">
        <v>448</v>
      </c>
      <c r="D332" s="8" t="s">
        <v>3254</v>
      </c>
      <c r="E332" s="50" t="s">
        <v>1067</v>
      </c>
      <c r="F332" s="8" t="s">
        <v>3255</v>
      </c>
      <c r="G332" s="50">
        <v>6.1</v>
      </c>
      <c r="H332" s="50" t="s">
        <v>2267</v>
      </c>
    </row>
    <row r="333" spans="1:8" x14ac:dyDescent="0.25">
      <c r="A333" s="50" t="s">
        <v>2195</v>
      </c>
      <c r="B333" s="50" t="s">
        <v>227</v>
      </c>
      <c r="C333" s="50" t="s">
        <v>448</v>
      </c>
      <c r="D333" s="8" t="s">
        <v>3256</v>
      </c>
      <c r="E333" s="50" t="s">
        <v>1068</v>
      </c>
      <c r="F333" s="8"/>
      <c r="G333" s="50"/>
      <c r="H333" s="50" t="s">
        <v>2267</v>
      </c>
    </row>
    <row r="334" spans="1:8" x14ac:dyDescent="0.25">
      <c r="A334" s="50" t="s">
        <v>2195</v>
      </c>
      <c r="B334" s="50" t="s">
        <v>227</v>
      </c>
      <c r="C334" s="50" t="s">
        <v>448</v>
      </c>
      <c r="D334" s="8" t="s">
        <v>3257</v>
      </c>
      <c r="E334" s="50" t="s">
        <v>1068</v>
      </c>
      <c r="F334" s="8"/>
      <c r="G334" s="50"/>
      <c r="H334" s="50" t="s">
        <v>2267</v>
      </c>
    </row>
    <row r="335" spans="1:8" x14ac:dyDescent="0.25">
      <c r="A335" s="50" t="s">
        <v>2195</v>
      </c>
      <c r="B335" s="50" t="s">
        <v>227</v>
      </c>
      <c r="C335" s="50" t="s">
        <v>448</v>
      </c>
      <c r="D335" s="8" t="s">
        <v>3258</v>
      </c>
      <c r="E335" s="50" t="s">
        <v>1068</v>
      </c>
      <c r="F335" s="8"/>
      <c r="G335" s="50"/>
      <c r="H335" s="50" t="s">
        <v>2461</v>
      </c>
    </row>
    <row r="336" spans="1:8" x14ac:dyDescent="0.25">
      <c r="A336" s="50" t="s">
        <v>2195</v>
      </c>
      <c r="B336" s="50" t="s">
        <v>227</v>
      </c>
      <c r="C336" s="50" t="s">
        <v>395</v>
      </c>
      <c r="D336" s="8" t="s">
        <v>3259</v>
      </c>
      <c r="E336" s="50" t="s">
        <v>1067</v>
      </c>
      <c r="F336" s="8" t="s">
        <v>3260</v>
      </c>
      <c r="G336" s="50">
        <v>0.2</v>
      </c>
      <c r="H336" s="50" t="s">
        <v>2461</v>
      </c>
    </row>
    <row r="337" spans="1:8" x14ac:dyDescent="0.25">
      <c r="A337" s="50" t="s">
        <v>2195</v>
      </c>
      <c r="B337" s="50" t="s">
        <v>227</v>
      </c>
      <c r="C337" s="50" t="s">
        <v>395</v>
      </c>
      <c r="D337" s="8" t="s">
        <v>3261</v>
      </c>
      <c r="E337" s="50" t="s">
        <v>1068</v>
      </c>
      <c r="F337" s="8"/>
      <c r="G337" s="50"/>
      <c r="H337" s="50" t="s">
        <v>2461</v>
      </c>
    </row>
    <row r="338" spans="1:8" x14ac:dyDescent="0.25">
      <c r="A338" s="50" t="s">
        <v>2195</v>
      </c>
      <c r="B338" s="50" t="s">
        <v>227</v>
      </c>
      <c r="C338" s="50" t="s">
        <v>509</v>
      </c>
      <c r="D338" s="8" t="s">
        <v>3051</v>
      </c>
      <c r="E338" s="50" t="s">
        <v>1068</v>
      </c>
      <c r="F338" s="8"/>
      <c r="G338" s="50"/>
      <c r="H338" s="50" t="s">
        <v>2461</v>
      </c>
    </row>
    <row r="339" spans="1:8" x14ac:dyDescent="0.25">
      <c r="A339" s="50" t="s">
        <v>2195</v>
      </c>
      <c r="B339" s="50" t="s">
        <v>227</v>
      </c>
      <c r="C339" s="50" t="s">
        <v>395</v>
      </c>
      <c r="D339" s="8" t="s">
        <v>3262</v>
      </c>
      <c r="E339" s="50" t="s">
        <v>1068</v>
      </c>
      <c r="F339" s="8"/>
      <c r="G339" s="50"/>
      <c r="H339" s="50" t="s">
        <v>2487</v>
      </c>
    </row>
    <row r="340" spans="1:8" x14ac:dyDescent="0.25">
      <c r="A340" s="50" t="s">
        <v>2195</v>
      </c>
      <c r="B340" s="50" t="s">
        <v>227</v>
      </c>
      <c r="C340" s="50" t="s">
        <v>395</v>
      </c>
      <c r="D340" s="8" t="s">
        <v>3263</v>
      </c>
      <c r="E340" s="50" t="s">
        <v>1068</v>
      </c>
      <c r="F340" s="8"/>
      <c r="G340" s="50"/>
      <c r="H340" s="50" t="s">
        <v>2487</v>
      </c>
    </row>
    <row r="341" spans="1:8" x14ac:dyDescent="0.25">
      <c r="A341" s="50" t="s">
        <v>2195</v>
      </c>
      <c r="B341" s="50" t="s">
        <v>227</v>
      </c>
      <c r="C341" s="50" t="s">
        <v>395</v>
      </c>
      <c r="D341" s="8" t="s">
        <v>3264</v>
      </c>
      <c r="E341" s="50" t="s">
        <v>1068</v>
      </c>
      <c r="F341" s="8"/>
      <c r="G341" s="50"/>
      <c r="H341" s="50" t="s">
        <v>2487</v>
      </c>
    </row>
    <row r="342" spans="1:8" x14ac:dyDescent="0.25">
      <c r="A342" s="50" t="s">
        <v>2195</v>
      </c>
      <c r="B342" s="50" t="s">
        <v>227</v>
      </c>
      <c r="C342" s="50" t="s">
        <v>395</v>
      </c>
      <c r="D342" s="8" t="s">
        <v>3265</v>
      </c>
      <c r="E342" s="50" t="s">
        <v>1068</v>
      </c>
      <c r="F342" s="8"/>
      <c r="G342" s="50"/>
      <c r="H342" s="50" t="s">
        <v>2487</v>
      </c>
    </row>
    <row r="343" spans="1:8" x14ac:dyDescent="0.25">
      <c r="A343" s="50" t="s">
        <v>2195</v>
      </c>
      <c r="B343" s="50" t="s">
        <v>227</v>
      </c>
      <c r="C343" s="50" t="s">
        <v>395</v>
      </c>
      <c r="D343" s="8" t="s">
        <v>3266</v>
      </c>
      <c r="E343" s="50" t="s">
        <v>1068</v>
      </c>
      <c r="F343" s="8"/>
      <c r="G343" s="50"/>
      <c r="H343" s="50" t="s">
        <v>2487</v>
      </c>
    </row>
    <row r="344" spans="1:8" x14ac:dyDescent="0.25">
      <c r="A344" s="50" t="s">
        <v>2195</v>
      </c>
      <c r="B344" s="50" t="s">
        <v>227</v>
      </c>
      <c r="C344" s="50" t="s">
        <v>509</v>
      </c>
      <c r="D344" s="8" t="s">
        <v>3267</v>
      </c>
      <c r="E344" s="50" t="s">
        <v>1068</v>
      </c>
      <c r="F344" s="8"/>
      <c r="G344" s="50"/>
      <c r="H344" s="50" t="s">
        <v>2487</v>
      </c>
    </row>
    <row r="345" spans="1:8" x14ac:dyDescent="0.25">
      <c r="A345" s="50" t="s">
        <v>2195</v>
      </c>
      <c r="B345" s="50" t="s">
        <v>227</v>
      </c>
      <c r="C345" s="50" t="s">
        <v>448</v>
      </c>
      <c r="D345" s="8" t="s">
        <v>3268</v>
      </c>
      <c r="E345" s="50" t="s">
        <v>1068</v>
      </c>
      <c r="F345" s="8"/>
      <c r="G345" s="50"/>
      <c r="H345" s="50" t="s">
        <v>2487</v>
      </c>
    </row>
    <row r="346" spans="1:8" x14ac:dyDescent="0.25">
      <c r="A346" s="50" t="s">
        <v>2195</v>
      </c>
      <c r="B346" s="50" t="s">
        <v>227</v>
      </c>
      <c r="C346" s="50" t="s">
        <v>395</v>
      </c>
      <c r="D346" s="8" t="s">
        <v>3269</v>
      </c>
      <c r="E346" s="50" t="s">
        <v>1068</v>
      </c>
      <c r="F346" s="8"/>
      <c r="G346" s="50"/>
      <c r="H346" s="50" t="s">
        <v>2487</v>
      </c>
    </row>
    <row r="347" spans="1:8" x14ac:dyDescent="0.25">
      <c r="A347" s="50" t="s">
        <v>2195</v>
      </c>
      <c r="B347" s="50" t="s">
        <v>227</v>
      </c>
      <c r="C347" s="50" t="s">
        <v>395</v>
      </c>
      <c r="D347" s="8" t="s">
        <v>3270</v>
      </c>
      <c r="E347" s="50" t="s">
        <v>1068</v>
      </c>
      <c r="F347" s="8"/>
      <c r="G347" s="50"/>
      <c r="H347" s="50" t="s">
        <v>2532</v>
      </c>
    </row>
    <row r="348" spans="1:8" x14ac:dyDescent="0.25">
      <c r="A348" s="50" t="s">
        <v>2195</v>
      </c>
      <c r="B348" s="50" t="s">
        <v>227</v>
      </c>
      <c r="C348" s="50" t="s">
        <v>395</v>
      </c>
      <c r="D348" s="8" t="s">
        <v>3271</v>
      </c>
      <c r="E348" s="50" t="s">
        <v>1068</v>
      </c>
      <c r="F348" s="8"/>
      <c r="G348" s="50"/>
      <c r="H348" s="50" t="s">
        <v>2532</v>
      </c>
    </row>
    <row r="349" spans="1:8" x14ac:dyDescent="0.25">
      <c r="A349" s="50" t="s">
        <v>2195</v>
      </c>
      <c r="B349" s="50" t="s">
        <v>227</v>
      </c>
      <c r="C349" s="50" t="s">
        <v>395</v>
      </c>
      <c r="D349" s="8" t="s">
        <v>3272</v>
      </c>
      <c r="E349" s="50" t="s">
        <v>1068</v>
      </c>
      <c r="F349" s="8"/>
      <c r="G349" s="50"/>
      <c r="H349" s="50" t="s">
        <v>2532</v>
      </c>
    </row>
    <row r="350" spans="1:8" x14ac:dyDescent="0.25">
      <c r="A350" s="50" t="s">
        <v>2195</v>
      </c>
      <c r="B350" s="50" t="s">
        <v>227</v>
      </c>
      <c r="C350" s="50" t="s">
        <v>448</v>
      </c>
      <c r="D350" s="8" t="s">
        <v>3273</v>
      </c>
      <c r="E350" s="50" t="s">
        <v>1068</v>
      </c>
      <c r="F350" s="8"/>
      <c r="G350" s="50"/>
      <c r="H350" s="50" t="s">
        <v>2532</v>
      </c>
    </row>
    <row r="351" spans="1:8" ht="25.5" x14ac:dyDescent="0.25">
      <c r="A351" s="50" t="s">
        <v>2195</v>
      </c>
      <c r="B351" s="50" t="s">
        <v>227</v>
      </c>
      <c r="C351" s="50" t="s">
        <v>395</v>
      </c>
      <c r="D351" s="8" t="s">
        <v>3274</v>
      </c>
      <c r="E351" s="50" t="s">
        <v>1068</v>
      </c>
      <c r="F351" s="8"/>
      <c r="G351" s="50"/>
      <c r="H351" s="50" t="s">
        <v>2532</v>
      </c>
    </row>
    <row r="352" spans="1:8" x14ac:dyDescent="0.25">
      <c r="A352" s="50" t="s">
        <v>2195</v>
      </c>
      <c r="B352" s="50" t="s">
        <v>227</v>
      </c>
      <c r="C352" s="50" t="s">
        <v>448</v>
      </c>
      <c r="D352" s="8" t="s">
        <v>3275</v>
      </c>
      <c r="E352" s="50" t="s">
        <v>1068</v>
      </c>
      <c r="F352" s="8"/>
      <c r="G352" s="50"/>
      <c r="H352" s="50" t="s">
        <v>2532</v>
      </c>
    </row>
    <row r="353" spans="1:8" x14ac:dyDescent="0.25">
      <c r="A353" s="50" t="s">
        <v>2195</v>
      </c>
      <c r="B353" s="50" t="s">
        <v>227</v>
      </c>
      <c r="C353" s="50" t="s">
        <v>395</v>
      </c>
      <c r="D353" s="8" t="s">
        <v>3276</v>
      </c>
      <c r="E353" s="50" t="s">
        <v>1068</v>
      </c>
      <c r="F353" s="8"/>
      <c r="G353" s="50"/>
      <c r="H353" s="50" t="s">
        <v>2532</v>
      </c>
    </row>
    <row r="354" spans="1:8" x14ac:dyDescent="0.25">
      <c r="A354" s="50" t="s">
        <v>2195</v>
      </c>
      <c r="B354" s="50" t="s">
        <v>227</v>
      </c>
      <c r="C354" s="50" t="s">
        <v>509</v>
      </c>
      <c r="D354" s="8" t="s">
        <v>3184</v>
      </c>
      <c r="E354" s="50" t="s">
        <v>1068</v>
      </c>
      <c r="F354" s="8"/>
      <c r="G354" s="50"/>
      <c r="H354" s="50" t="s">
        <v>2532</v>
      </c>
    </row>
    <row r="355" spans="1:8" x14ac:dyDescent="0.25">
      <c r="A355" s="50" t="s">
        <v>2195</v>
      </c>
      <c r="B355" s="50" t="s">
        <v>227</v>
      </c>
      <c r="C355" s="50" t="s">
        <v>395</v>
      </c>
      <c r="D355" s="8" t="s">
        <v>3277</v>
      </c>
      <c r="E355" s="50" t="s">
        <v>1068</v>
      </c>
      <c r="F355" s="8"/>
      <c r="G355" s="50"/>
      <c r="H355" s="50" t="s">
        <v>2232</v>
      </c>
    </row>
    <row r="356" spans="1:8" x14ac:dyDescent="0.25">
      <c r="A356" s="50" t="s">
        <v>2195</v>
      </c>
      <c r="B356" s="50" t="s">
        <v>227</v>
      </c>
      <c r="C356" s="50" t="s">
        <v>395</v>
      </c>
      <c r="D356" s="8" t="s">
        <v>3278</v>
      </c>
      <c r="E356" s="50" t="s">
        <v>1068</v>
      </c>
      <c r="F356" s="8"/>
      <c r="G356" s="50"/>
      <c r="H356" s="50" t="s">
        <v>2232</v>
      </c>
    </row>
    <row r="357" spans="1:8" x14ac:dyDescent="0.25">
      <c r="A357" s="50" t="s">
        <v>2195</v>
      </c>
      <c r="B357" s="50" t="s">
        <v>227</v>
      </c>
      <c r="C357" s="50" t="s">
        <v>395</v>
      </c>
      <c r="D357" s="8" t="s">
        <v>3279</v>
      </c>
      <c r="E357" s="50" t="s">
        <v>1068</v>
      </c>
      <c r="F357" s="8"/>
      <c r="G357" s="50"/>
      <c r="H357" s="50" t="s">
        <v>2232</v>
      </c>
    </row>
    <row r="358" spans="1:8" x14ac:dyDescent="0.25">
      <c r="A358" s="50" t="s">
        <v>2195</v>
      </c>
      <c r="B358" s="50" t="s">
        <v>227</v>
      </c>
      <c r="C358" s="50" t="s">
        <v>395</v>
      </c>
      <c r="D358" s="8" t="s">
        <v>3280</v>
      </c>
      <c r="E358" s="50" t="s">
        <v>1068</v>
      </c>
      <c r="F358" s="8"/>
      <c r="G358" s="50"/>
      <c r="H358" s="50" t="s">
        <v>2232</v>
      </c>
    </row>
    <row r="359" spans="1:8" ht="38.25" x14ac:dyDescent="0.25">
      <c r="A359" s="50" t="s">
        <v>2195</v>
      </c>
      <c r="B359" s="50" t="s">
        <v>227</v>
      </c>
      <c r="C359" s="50" t="s">
        <v>395</v>
      </c>
      <c r="D359" s="8" t="s">
        <v>3281</v>
      </c>
      <c r="E359" s="50" t="s">
        <v>1068</v>
      </c>
      <c r="F359" s="8"/>
      <c r="G359" s="50"/>
      <c r="H359" s="50" t="s">
        <v>2232</v>
      </c>
    </row>
    <row r="360" spans="1:8" x14ac:dyDescent="0.25">
      <c r="A360" s="50" t="s">
        <v>2553</v>
      </c>
      <c r="B360" s="50" t="s">
        <v>228</v>
      </c>
      <c r="C360" s="50" t="s">
        <v>448</v>
      </c>
      <c r="D360" s="8" t="s">
        <v>3282</v>
      </c>
      <c r="E360" s="50" t="s">
        <v>1068</v>
      </c>
      <c r="F360" s="8"/>
      <c r="G360" s="50"/>
      <c r="H360" s="50" t="s">
        <v>2830</v>
      </c>
    </row>
    <row r="361" spans="1:8" x14ac:dyDescent="0.25">
      <c r="A361" s="50" t="s">
        <v>2553</v>
      </c>
      <c r="B361" s="50" t="s">
        <v>228</v>
      </c>
      <c r="C361" s="50" t="s">
        <v>395</v>
      </c>
      <c r="D361" s="8" t="s">
        <v>3283</v>
      </c>
      <c r="E361" s="50" t="s">
        <v>1068</v>
      </c>
      <c r="F361" s="8"/>
      <c r="G361" s="50"/>
      <c r="H361" s="50" t="s">
        <v>2830</v>
      </c>
    </row>
    <row r="362" spans="1:8" x14ac:dyDescent="0.25">
      <c r="A362" s="50" t="s">
        <v>2553</v>
      </c>
      <c r="B362" s="50" t="s">
        <v>228</v>
      </c>
      <c r="C362" s="50" t="s">
        <v>395</v>
      </c>
      <c r="D362" s="8" t="s">
        <v>3284</v>
      </c>
      <c r="E362" s="50" t="s">
        <v>1068</v>
      </c>
      <c r="F362" s="8"/>
      <c r="G362" s="50"/>
      <c r="H362" s="50" t="s">
        <v>2830</v>
      </c>
    </row>
    <row r="363" spans="1:8" ht="114.75" x14ac:dyDescent="0.25">
      <c r="A363" s="50" t="s">
        <v>2553</v>
      </c>
      <c r="B363" s="50" t="s">
        <v>228</v>
      </c>
      <c r="C363" s="50" t="s">
        <v>395</v>
      </c>
      <c r="D363" s="8" t="s">
        <v>3285</v>
      </c>
      <c r="E363" s="50" t="s">
        <v>1068</v>
      </c>
      <c r="F363" s="8"/>
      <c r="G363" s="50"/>
      <c r="H363" s="50" t="s">
        <v>2830</v>
      </c>
    </row>
    <row r="364" spans="1:8" x14ac:dyDescent="0.25">
      <c r="A364" s="50" t="s">
        <v>2553</v>
      </c>
      <c r="B364" s="50" t="s">
        <v>228</v>
      </c>
      <c r="C364" s="50" t="s">
        <v>509</v>
      </c>
      <c r="D364" s="8" t="s">
        <v>2985</v>
      </c>
      <c r="E364" s="50" t="s">
        <v>1068</v>
      </c>
      <c r="F364" s="8"/>
      <c r="G364" s="50"/>
      <c r="H364" s="50" t="s">
        <v>2830</v>
      </c>
    </row>
    <row r="365" spans="1:8" x14ac:dyDescent="0.25">
      <c r="A365" s="50" t="s">
        <v>2553</v>
      </c>
      <c r="B365" s="50" t="s">
        <v>228</v>
      </c>
      <c r="C365" s="50" t="s">
        <v>395</v>
      </c>
      <c r="D365" s="8" t="s">
        <v>3286</v>
      </c>
      <c r="E365" s="50" t="s">
        <v>1068</v>
      </c>
      <c r="F365" s="8"/>
      <c r="G365" s="50"/>
      <c r="H365" s="50" t="s">
        <v>2830</v>
      </c>
    </row>
    <row r="366" spans="1:8" ht="51" x14ac:dyDescent="0.25">
      <c r="A366" s="50" t="s">
        <v>2553</v>
      </c>
      <c r="B366" s="50" t="s">
        <v>228</v>
      </c>
      <c r="C366" s="50" t="s">
        <v>395</v>
      </c>
      <c r="D366" s="8" t="s">
        <v>3287</v>
      </c>
      <c r="E366" s="50" t="s">
        <v>1068</v>
      </c>
      <c r="F366" s="8"/>
      <c r="G366" s="50"/>
      <c r="H366" s="50" t="s">
        <v>2830</v>
      </c>
    </row>
    <row r="367" spans="1:8" x14ac:dyDescent="0.25">
      <c r="A367" s="50" t="s">
        <v>2553</v>
      </c>
      <c r="B367" s="50" t="s">
        <v>228</v>
      </c>
      <c r="C367" s="50" t="s">
        <v>395</v>
      </c>
      <c r="D367" s="8" t="s">
        <v>3288</v>
      </c>
      <c r="E367" s="50" t="s">
        <v>1068</v>
      </c>
      <c r="F367" s="8"/>
      <c r="G367" s="50"/>
      <c r="H367" s="50" t="s">
        <v>2830</v>
      </c>
    </row>
    <row r="368" spans="1:8" x14ac:dyDescent="0.25">
      <c r="A368" s="50" t="s">
        <v>2553</v>
      </c>
      <c r="B368" s="50" t="s">
        <v>228</v>
      </c>
      <c r="C368" s="50" t="s">
        <v>395</v>
      </c>
      <c r="D368" s="8" t="s">
        <v>3289</v>
      </c>
      <c r="E368" s="50" t="s">
        <v>1068</v>
      </c>
      <c r="F368" s="8"/>
      <c r="G368" s="50"/>
      <c r="H368" s="50" t="s">
        <v>2830</v>
      </c>
    </row>
    <row r="369" spans="1:8" ht="25.5" x14ac:dyDescent="0.25">
      <c r="A369" s="50" t="s">
        <v>2553</v>
      </c>
      <c r="B369" s="50" t="s">
        <v>228</v>
      </c>
      <c r="C369" s="50" t="s">
        <v>395</v>
      </c>
      <c r="D369" s="8" t="s">
        <v>3290</v>
      </c>
      <c r="E369" s="50" t="s">
        <v>1068</v>
      </c>
      <c r="F369" s="8"/>
      <c r="G369" s="50"/>
      <c r="H369" s="50" t="s">
        <v>2830</v>
      </c>
    </row>
    <row r="370" spans="1:8" x14ac:dyDescent="0.25">
      <c r="A370" s="50" t="s">
        <v>2553</v>
      </c>
      <c r="B370" s="50" t="s">
        <v>228</v>
      </c>
      <c r="C370" s="50" t="s">
        <v>448</v>
      </c>
      <c r="D370" s="8" t="s">
        <v>3291</v>
      </c>
      <c r="E370" s="50" t="s">
        <v>1068</v>
      </c>
      <c r="F370" s="8"/>
      <c r="G370" s="50"/>
      <c r="H370" s="50" t="s">
        <v>2830</v>
      </c>
    </row>
    <row r="371" spans="1:8" x14ac:dyDescent="0.25">
      <c r="A371" s="50" t="s">
        <v>2553</v>
      </c>
      <c r="B371" s="50" t="s">
        <v>228</v>
      </c>
      <c r="C371" s="50" t="s">
        <v>395</v>
      </c>
      <c r="D371" s="8" t="s">
        <v>3292</v>
      </c>
      <c r="E371" s="50" t="s">
        <v>1068</v>
      </c>
      <c r="F371" s="8"/>
      <c r="G371" s="50"/>
      <c r="H371" s="50" t="s">
        <v>2830</v>
      </c>
    </row>
    <row r="372" spans="1:8" x14ac:dyDescent="0.25">
      <c r="A372" s="50" t="s">
        <v>2553</v>
      </c>
      <c r="B372" s="50" t="s">
        <v>228</v>
      </c>
      <c r="C372" s="50" t="s">
        <v>448</v>
      </c>
      <c r="D372" s="8" t="s">
        <v>3293</v>
      </c>
      <c r="E372" s="50" t="s">
        <v>1068</v>
      </c>
      <c r="F372" s="8"/>
      <c r="G372" s="50"/>
      <c r="H372" s="50" t="s">
        <v>2830</v>
      </c>
    </row>
    <row r="373" spans="1:8" x14ac:dyDescent="0.25">
      <c r="A373" s="50" t="s">
        <v>2553</v>
      </c>
      <c r="B373" s="50" t="s">
        <v>228</v>
      </c>
      <c r="C373" s="50" t="s">
        <v>509</v>
      </c>
      <c r="D373" s="8" t="s">
        <v>2985</v>
      </c>
      <c r="E373" s="50" t="s">
        <v>1068</v>
      </c>
      <c r="F373" s="8"/>
      <c r="G373" s="50"/>
      <c r="H373" s="50" t="s">
        <v>2830</v>
      </c>
    </row>
    <row r="374" spans="1:8" ht="51" x14ac:dyDescent="0.25">
      <c r="A374" s="50" t="s">
        <v>2553</v>
      </c>
      <c r="B374" s="50" t="s">
        <v>228</v>
      </c>
      <c r="C374" s="50" t="s">
        <v>395</v>
      </c>
      <c r="D374" s="8" t="s">
        <v>3294</v>
      </c>
      <c r="E374" s="50" t="s">
        <v>1068</v>
      </c>
      <c r="F374" s="8"/>
      <c r="G374" s="50"/>
      <c r="H374" s="50" t="s">
        <v>2830</v>
      </c>
    </row>
    <row r="375" spans="1:8" x14ac:dyDescent="0.25">
      <c r="A375" s="50" t="s">
        <v>2553</v>
      </c>
      <c r="B375" s="50" t="s">
        <v>228</v>
      </c>
      <c r="C375" s="50" t="s">
        <v>448</v>
      </c>
      <c r="D375" s="8" t="s">
        <v>3295</v>
      </c>
      <c r="E375" s="50" t="s">
        <v>1068</v>
      </c>
      <c r="F375" s="8"/>
      <c r="G375" s="50"/>
      <c r="H375" s="50" t="s">
        <v>2710</v>
      </c>
    </row>
    <row r="376" spans="1:8" x14ac:dyDescent="0.25">
      <c r="A376" s="50" t="s">
        <v>2553</v>
      </c>
      <c r="B376" s="50" t="s">
        <v>228</v>
      </c>
      <c r="C376" s="50" t="s">
        <v>448</v>
      </c>
      <c r="D376" s="8" t="s">
        <v>3296</v>
      </c>
      <c r="E376" s="50" t="s">
        <v>1068</v>
      </c>
      <c r="F376" s="8"/>
      <c r="G376" s="50"/>
      <c r="H376" s="50" t="s">
        <v>2710</v>
      </c>
    </row>
    <row r="377" spans="1:8" x14ac:dyDescent="0.25">
      <c r="A377" s="50" t="s">
        <v>2553</v>
      </c>
      <c r="B377" s="50" t="s">
        <v>228</v>
      </c>
      <c r="C377" s="50" t="s">
        <v>448</v>
      </c>
      <c r="D377" s="8" t="s">
        <v>3297</v>
      </c>
      <c r="E377" s="50" t="s">
        <v>1068</v>
      </c>
      <c r="F377" s="8"/>
      <c r="G377" s="50"/>
      <c r="H377" s="50" t="s">
        <v>2710</v>
      </c>
    </row>
    <row r="378" spans="1:8" x14ac:dyDescent="0.25">
      <c r="A378" s="50" t="s">
        <v>2553</v>
      </c>
      <c r="B378" s="50" t="s">
        <v>228</v>
      </c>
      <c r="C378" s="50" t="s">
        <v>448</v>
      </c>
      <c r="D378" s="8" t="s">
        <v>3298</v>
      </c>
      <c r="E378" s="50" t="s">
        <v>1068</v>
      </c>
      <c r="F378" s="8"/>
      <c r="G378" s="50"/>
      <c r="H378" s="50" t="s">
        <v>2710</v>
      </c>
    </row>
    <row r="379" spans="1:8" x14ac:dyDescent="0.25">
      <c r="A379" s="50" t="s">
        <v>2553</v>
      </c>
      <c r="B379" s="50" t="s">
        <v>228</v>
      </c>
      <c r="C379" s="50" t="s">
        <v>448</v>
      </c>
      <c r="D379" s="8" t="s">
        <v>3298</v>
      </c>
      <c r="E379" s="50" t="s">
        <v>1068</v>
      </c>
      <c r="F379" s="8"/>
      <c r="G379" s="50"/>
      <c r="H379" s="50" t="s">
        <v>2710</v>
      </c>
    </row>
    <row r="380" spans="1:8" x14ac:dyDescent="0.25">
      <c r="A380" s="50" t="s">
        <v>2553</v>
      </c>
      <c r="B380" s="50" t="s">
        <v>228</v>
      </c>
      <c r="C380" s="50" t="s">
        <v>395</v>
      </c>
      <c r="D380" s="8" t="s">
        <v>3299</v>
      </c>
      <c r="E380" s="50" t="s">
        <v>1068</v>
      </c>
      <c r="F380" s="8"/>
      <c r="G380" s="50"/>
      <c r="H380" s="50" t="s">
        <v>2710</v>
      </c>
    </row>
    <row r="381" spans="1:8" x14ac:dyDescent="0.25">
      <c r="A381" s="50" t="s">
        <v>2553</v>
      </c>
      <c r="B381" s="50" t="s">
        <v>228</v>
      </c>
      <c r="C381" s="50" t="s">
        <v>395</v>
      </c>
      <c r="D381" s="8" t="s">
        <v>3300</v>
      </c>
      <c r="E381" s="50" t="s">
        <v>1068</v>
      </c>
      <c r="F381" s="8"/>
      <c r="G381" s="50"/>
      <c r="H381" s="50" t="s">
        <v>2710</v>
      </c>
    </row>
    <row r="382" spans="1:8" x14ac:dyDescent="0.25">
      <c r="A382" s="50" t="s">
        <v>2553</v>
      </c>
      <c r="B382" s="50" t="s">
        <v>228</v>
      </c>
      <c r="C382" s="50" t="s">
        <v>448</v>
      </c>
      <c r="D382" s="8" t="s">
        <v>3298</v>
      </c>
      <c r="E382" s="50" t="s">
        <v>1068</v>
      </c>
      <c r="F382" s="8"/>
      <c r="G382" s="50"/>
      <c r="H382" s="50" t="s">
        <v>2710</v>
      </c>
    </row>
    <row r="383" spans="1:8" x14ac:dyDescent="0.25">
      <c r="A383" s="50" t="s">
        <v>2553</v>
      </c>
      <c r="B383" s="50" t="s">
        <v>228</v>
      </c>
      <c r="C383" s="50" t="s">
        <v>448</v>
      </c>
      <c r="D383" s="8" t="s">
        <v>3298</v>
      </c>
      <c r="E383" s="50" t="s">
        <v>1068</v>
      </c>
      <c r="F383" s="8"/>
      <c r="G383" s="50"/>
      <c r="H383" s="50" t="s">
        <v>2710</v>
      </c>
    </row>
    <row r="384" spans="1:8" x14ac:dyDescent="0.25">
      <c r="A384" s="50" t="s">
        <v>2553</v>
      </c>
      <c r="B384" s="50" t="s">
        <v>228</v>
      </c>
      <c r="C384" s="50" t="s">
        <v>448</v>
      </c>
      <c r="D384" s="8" t="s">
        <v>3298</v>
      </c>
      <c r="E384" s="50" t="s">
        <v>1068</v>
      </c>
      <c r="F384" s="8"/>
      <c r="G384" s="50"/>
      <c r="H384" s="50" t="s">
        <v>2710</v>
      </c>
    </row>
    <row r="385" spans="1:8" x14ac:dyDescent="0.25">
      <c r="A385" s="50" t="s">
        <v>2553</v>
      </c>
      <c r="B385" s="50" t="s">
        <v>228</v>
      </c>
      <c r="C385" s="50" t="s">
        <v>448</v>
      </c>
      <c r="D385" s="8" t="s">
        <v>3301</v>
      </c>
      <c r="E385" s="50" t="s">
        <v>1068</v>
      </c>
      <c r="F385" s="8"/>
      <c r="G385" s="50"/>
      <c r="H385" s="50" t="s">
        <v>2710</v>
      </c>
    </row>
    <row r="386" spans="1:8" x14ac:dyDescent="0.25">
      <c r="A386" s="50" t="s">
        <v>2553</v>
      </c>
      <c r="B386" s="50" t="s">
        <v>228</v>
      </c>
      <c r="C386" s="50" t="s">
        <v>448</v>
      </c>
      <c r="D386" s="8" t="s">
        <v>3298</v>
      </c>
      <c r="E386" s="50" t="s">
        <v>1068</v>
      </c>
      <c r="F386" s="8"/>
      <c r="G386" s="50"/>
      <c r="H386" s="50" t="s">
        <v>2710</v>
      </c>
    </row>
    <row r="387" spans="1:8" x14ac:dyDescent="0.25">
      <c r="A387" s="50" t="s">
        <v>2553</v>
      </c>
      <c r="B387" s="50" t="s">
        <v>228</v>
      </c>
      <c r="C387" s="50" t="s">
        <v>448</v>
      </c>
      <c r="D387" s="8" t="s">
        <v>3298</v>
      </c>
      <c r="E387" s="50" t="s">
        <v>1068</v>
      </c>
      <c r="F387" s="8"/>
      <c r="G387" s="50"/>
      <c r="H387" s="50" t="s">
        <v>2710</v>
      </c>
    </row>
    <row r="388" spans="1:8" x14ac:dyDescent="0.25">
      <c r="A388" s="50" t="s">
        <v>2553</v>
      </c>
      <c r="B388" s="50" t="s">
        <v>228</v>
      </c>
      <c r="C388" s="50" t="s">
        <v>448</v>
      </c>
      <c r="D388" s="8" t="s">
        <v>3298</v>
      </c>
      <c r="E388" s="50" t="s">
        <v>1068</v>
      </c>
      <c r="F388" s="8"/>
      <c r="G388" s="50"/>
      <c r="H388" s="50" t="s">
        <v>2710</v>
      </c>
    </row>
    <row r="389" spans="1:8" x14ac:dyDescent="0.25">
      <c r="A389" s="50" t="s">
        <v>2553</v>
      </c>
      <c r="B389" s="50" t="s">
        <v>228</v>
      </c>
      <c r="C389" s="50" t="s">
        <v>448</v>
      </c>
      <c r="D389" s="8" t="s">
        <v>3302</v>
      </c>
      <c r="E389" s="50" t="s">
        <v>1068</v>
      </c>
      <c r="F389" s="8"/>
      <c r="G389" s="50"/>
      <c r="H389" s="50" t="s">
        <v>2710</v>
      </c>
    </row>
    <row r="390" spans="1:8" x14ac:dyDescent="0.25">
      <c r="A390" s="50" t="s">
        <v>2553</v>
      </c>
      <c r="B390" s="50" t="s">
        <v>228</v>
      </c>
      <c r="C390" s="50" t="s">
        <v>395</v>
      </c>
      <c r="D390" s="8" t="s">
        <v>3303</v>
      </c>
      <c r="E390" s="50" t="s">
        <v>1068</v>
      </c>
      <c r="F390" s="8"/>
      <c r="G390" s="50"/>
      <c r="H390" s="50" t="s">
        <v>2635</v>
      </c>
    </row>
    <row r="391" spans="1:8" x14ac:dyDescent="0.25">
      <c r="A391" s="50" t="s">
        <v>2553</v>
      </c>
      <c r="B391" s="50" t="s">
        <v>228</v>
      </c>
      <c r="C391" s="50" t="s">
        <v>395</v>
      </c>
      <c r="D391" s="8" t="s">
        <v>3304</v>
      </c>
      <c r="E391" s="50" t="s">
        <v>1068</v>
      </c>
      <c r="F391" s="8"/>
      <c r="G391" s="50"/>
      <c r="H391" s="50" t="s">
        <v>2635</v>
      </c>
    </row>
    <row r="392" spans="1:8" x14ac:dyDescent="0.25">
      <c r="A392" s="50" t="s">
        <v>2553</v>
      </c>
      <c r="B392" s="50" t="s">
        <v>228</v>
      </c>
      <c r="C392" s="50" t="s">
        <v>395</v>
      </c>
      <c r="D392" s="8" t="s">
        <v>3305</v>
      </c>
      <c r="E392" s="50" t="s">
        <v>1068</v>
      </c>
      <c r="F392" s="8"/>
      <c r="G392" s="50"/>
      <c r="H392" s="50" t="s">
        <v>2635</v>
      </c>
    </row>
    <row r="393" spans="1:8" x14ac:dyDescent="0.25">
      <c r="A393" s="50" t="s">
        <v>2553</v>
      </c>
      <c r="B393" s="50" t="s">
        <v>228</v>
      </c>
      <c r="C393" s="50" t="s">
        <v>448</v>
      </c>
      <c r="D393" s="8" t="s">
        <v>3306</v>
      </c>
      <c r="E393" s="50" t="s">
        <v>1068</v>
      </c>
      <c r="F393" s="8"/>
      <c r="G393" s="50"/>
      <c r="H393" s="50" t="s">
        <v>2635</v>
      </c>
    </row>
    <row r="394" spans="1:8" x14ac:dyDescent="0.25">
      <c r="A394" s="50" t="s">
        <v>2553</v>
      </c>
      <c r="B394" s="50" t="s">
        <v>228</v>
      </c>
      <c r="C394" s="50" t="s">
        <v>448</v>
      </c>
      <c r="D394" s="8" t="s">
        <v>3307</v>
      </c>
      <c r="E394" s="50" t="s">
        <v>1068</v>
      </c>
      <c r="F394" s="8"/>
      <c r="G394" s="50"/>
      <c r="H394" s="50" t="s">
        <v>2635</v>
      </c>
    </row>
    <row r="395" spans="1:8" x14ac:dyDescent="0.25">
      <c r="A395" s="50" t="s">
        <v>2553</v>
      </c>
      <c r="B395" s="50" t="s">
        <v>228</v>
      </c>
      <c r="C395" s="50" t="s">
        <v>448</v>
      </c>
      <c r="D395" s="8" t="s">
        <v>3308</v>
      </c>
      <c r="E395" s="50" t="s">
        <v>1068</v>
      </c>
      <c r="F395" s="8"/>
      <c r="G395" s="50"/>
      <c r="H395" s="50" t="s">
        <v>2635</v>
      </c>
    </row>
    <row r="396" spans="1:8" x14ac:dyDescent="0.25">
      <c r="A396" s="50" t="s">
        <v>2553</v>
      </c>
      <c r="B396" s="50" t="s">
        <v>228</v>
      </c>
      <c r="C396" s="50" t="s">
        <v>448</v>
      </c>
      <c r="D396" s="8" t="s">
        <v>3308</v>
      </c>
      <c r="E396" s="50" t="s">
        <v>1068</v>
      </c>
      <c r="F396" s="8"/>
      <c r="G396" s="50"/>
      <c r="H396" s="50" t="s">
        <v>2635</v>
      </c>
    </row>
    <row r="397" spans="1:8" x14ac:dyDescent="0.25">
      <c r="A397" s="50" t="s">
        <v>2553</v>
      </c>
      <c r="B397" s="50" t="s">
        <v>228</v>
      </c>
      <c r="C397" s="50" t="s">
        <v>448</v>
      </c>
      <c r="D397" s="8" t="s">
        <v>3308</v>
      </c>
      <c r="E397" s="50" t="s">
        <v>1068</v>
      </c>
      <c r="F397" s="8"/>
      <c r="G397" s="50"/>
      <c r="H397" s="50" t="s">
        <v>2635</v>
      </c>
    </row>
    <row r="398" spans="1:8" x14ac:dyDescent="0.25">
      <c r="A398" s="50" t="s">
        <v>2553</v>
      </c>
      <c r="B398" s="50" t="s">
        <v>228</v>
      </c>
      <c r="C398" s="50" t="s">
        <v>448</v>
      </c>
      <c r="D398" s="8" t="s">
        <v>3308</v>
      </c>
      <c r="E398" s="50" t="s">
        <v>1068</v>
      </c>
      <c r="F398" s="8"/>
      <c r="G398" s="50"/>
      <c r="H398" s="50" t="s">
        <v>2635</v>
      </c>
    </row>
    <row r="399" spans="1:8" x14ac:dyDescent="0.25">
      <c r="A399" s="50" t="s">
        <v>2553</v>
      </c>
      <c r="B399" s="50" t="s">
        <v>228</v>
      </c>
      <c r="C399" s="50" t="s">
        <v>448</v>
      </c>
      <c r="D399" s="8" t="s">
        <v>3307</v>
      </c>
      <c r="E399" s="50" t="s">
        <v>1068</v>
      </c>
      <c r="F399" s="8"/>
      <c r="G399" s="50"/>
      <c r="H399" s="50" t="s">
        <v>2635</v>
      </c>
    </row>
    <row r="400" spans="1:8" x14ac:dyDescent="0.25">
      <c r="A400" s="50" t="s">
        <v>2553</v>
      </c>
      <c r="B400" s="50" t="s">
        <v>228</v>
      </c>
      <c r="C400" s="50" t="s">
        <v>448</v>
      </c>
      <c r="D400" s="8" t="s">
        <v>3308</v>
      </c>
      <c r="E400" s="50" t="s">
        <v>1068</v>
      </c>
      <c r="F400" s="8"/>
      <c r="G400" s="50"/>
      <c r="H400" s="50" t="s">
        <v>2635</v>
      </c>
    </row>
    <row r="401" spans="1:8" x14ac:dyDescent="0.25">
      <c r="A401" s="50" t="s">
        <v>2553</v>
      </c>
      <c r="B401" s="50" t="s">
        <v>228</v>
      </c>
      <c r="C401" s="50" t="s">
        <v>448</v>
      </c>
      <c r="D401" s="8" t="s">
        <v>3308</v>
      </c>
      <c r="E401" s="50" t="s">
        <v>1068</v>
      </c>
      <c r="F401" s="8"/>
      <c r="G401" s="50"/>
      <c r="H401" s="50" t="s">
        <v>2635</v>
      </c>
    </row>
    <row r="402" spans="1:8" x14ac:dyDescent="0.25">
      <c r="A402" s="50" t="s">
        <v>2553</v>
      </c>
      <c r="B402" s="50" t="s">
        <v>228</v>
      </c>
      <c r="C402" s="50" t="s">
        <v>448</v>
      </c>
      <c r="D402" s="8" t="s">
        <v>3308</v>
      </c>
      <c r="E402" s="50" t="s">
        <v>1068</v>
      </c>
      <c r="F402" s="8"/>
      <c r="G402" s="50"/>
      <c r="H402" s="50" t="s">
        <v>2635</v>
      </c>
    </row>
    <row r="403" spans="1:8" x14ac:dyDescent="0.25">
      <c r="A403" s="50" t="s">
        <v>2553</v>
      </c>
      <c r="B403" s="50" t="s">
        <v>228</v>
      </c>
      <c r="C403" s="50" t="s">
        <v>448</v>
      </c>
      <c r="D403" s="8" t="s">
        <v>3308</v>
      </c>
      <c r="E403" s="50" t="s">
        <v>1068</v>
      </c>
      <c r="F403" s="8"/>
      <c r="G403" s="50"/>
      <c r="H403" s="50" t="s">
        <v>2635</v>
      </c>
    </row>
    <row r="404" spans="1:8" x14ac:dyDescent="0.25">
      <c r="A404" s="50" t="s">
        <v>2553</v>
      </c>
      <c r="B404" s="50" t="s">
        <v>228</v>
      </c>
      <c r="C404" s="50" t="s">
        <v>448</v>
      </c>
      <c r="D404" s="8" t="s">
        <v>3308</v>
      </c>
      <c r="E404" s="50" t="s">
        <v>1068</v>
      </c>
      <c r="F404" s="8"/>
      <c r="G404" s="50"/>
      <c r="H404" s="50" t="s">
        <v>2635</v>
      </c>
    </row>
    <row r="405" spans="1:8" x14ac:dyDescent="0.25">
      <c r="A405" s="50" t="s">
        <v>2553</v>
      </c>
      <c r="B405" s="50" t="s">
        <v>228</v>
      </c>
      <c r="C405" s="50" t="s">
        <v>448</v>
      </c>
      <c r="D405" s="8" t="s">
        <v>3309</v>
      </c>
      <c r="E405" s="50" t="s">
        <v>1068</v>
      </c>
      <c r="F405" s="8"/>
      <c r="G405" s="50"/>
      <c r="H405" s="50" t="s">
        <v>2799</v>
      </c>
    </row>
    <row r="406" spans="1:8" x14ac:dyDescent="0.25">
      <c r="A406" s="50" t="s">
        <v>2553</v>
      </c>
      <c r="B406" s="50" t="s">
        <v>228</v>
      </c>
      <c r="C406" s="50" t="s">
        <v>448</v>
      </c>
      <c r="D406" s="8" t="s">
        <v>3310</v>
      </c>
      <c r="E406" s="50" t="s">
        <v>1068</v>
      </c>
      <c r="F406" s="8"/>
      <c r="G406" s="50"/>
      <c r="H406" s="50" t="s">
        <v>2799</v>
      </c>
    </row>
    <row r="407" spans="1:8" x14ac:dyDescent="0.25">
      <c r="A407" s="50" t="s">
        <v>2553</v>
      </c>
      <c r="B407" s="50" t="s">
        <v>228</v>
      </c>
      <c r="C407" s="50" t="s">
        <v>448</v>
      </c>
      <c r="D407" s="8" t="s">
        <v>3311</v>
      </c>
      <c r="E407" s="50" t="s">
        <v>1068</v>
      </c>
      <c r="F407" s="8"/>
      <c r="G407" s="50"/>
      <c r="H407" s="50" t="s">
        <v>2799</v>
      </c>
    </row>
    <row r="408" spans="1:8" x14ac:dyDescent="0.25">
      <c r="A408" s="50" t="s">
        <v>2553</v>
      </c>
      <c r="B408" s="50" t="s">
        <v>228</v>
      </c>
      <c r="C408" s="50" t="s">
        <v>395</v>
      </c>
      <c r="D408" s="8" t="s">
        <v>3312</v>
      </c>
      <c r="E408" s="50" t="s">
        <v>1068</v>
      </c>
      <c r="F408" s="8"/>
      <c r="G408" s="50"/>
      <c r="H408" s="50" t="s">
        <v>2799</v>
      </c>
    </row>
    <row r="409" spans="1:8" x14ac:dyDescent="0.25">
      <c r="A409" s="50" t="s">
        <v>2553</v>
      </c>
      <c r="B409" s="50" t="s">
        <v>228</v>
      </c>
      <c r="C409" s="50" t="s">
        <v>448</v>
      </c>
      <c r="D409" s="8" t="s">
        <v>3313</v>
      </c>
      <c r="E409" s="50" t="s">
        <v>1068</v>
      </c>
      <c r="F409" s="8"/>
      <c r="G409" s="50"/>
      <c r="H409" s="50" t="s">
        <v>2799</v>
      </c>
    </row>
    <row r="410" spans="1:8" x14ac:dyDescent="0.25">
      <c r="A410" s="50" t="s">
        <v>2553</v>
      </c>
      <c r="B410" s="50" t="s">
        <v>228</v>
      </c>
      <c r="C410" s="50" t="s">
        <v>448</v>
      </c>
      <c r="D410" s="8" t="s">
        <v>3314</v>
      </c>
      <c r="E410" s="50" t="s">
        <v>1068</v>
      </c>
      <c r="F410" s="8"/>
      <c r="G410" s="50"/>
      <c r="H410" s="50" t="s">
        <v>2799</v>
      </c>
    </row>
    <row r="411" spans="1:8" x14ac:dyDescent="0.25">
      <c r="A411" s="50" t="s">
        <v>2553</v>
      </c>
      <c r="B411" s="50" t="s">
        <v>228</v>
      </c>
      <c r="C411" s="50" t="s">
        <v>509</v>
      </c>
      <c r="D411" s="8" t="s">
        <v>3315</v>
      </c>
      <c r="E411" s="50" t="s">
        <v>1068</v>
      </c>
      <c r="F411" s="8"/>
      <c r="G411" s="50"/>
      <c r="H411" s="50" t="s">
        <v>2799</v>
      </c>
    </row>
    <row r="412" spans="1:8" x14ac:dyDescent="0.25">
      <c r="A412" s="50" t="s">
        <v>2553</v>
      </c>
      <c r="B412" s="50" t="s">
        <v>228</v>
      </c>
      <c r="C412" s="50" t="s">
        <v>395</v>
      </c>
      <c r="D412" s="8" t="s">
        <v>3316</v>
      </c>
      <c r="E412" s="50" t="s">
        <v>1068</v>
      </c>
      <c r="F412" s="8"/>
      <c r="G412" s="50"/>
      <c r="H412" s="50" t="s">
        <v>2799</v>
      </c>
    </row>
    <row r="413" spans="1:8" x14ac:dyDescent="0.25">
      <c r="A413" s="50" t="s">
        <v>2553</v>
      </c>
      <c r="B413" s="50" t="s">
        <v>228</v>
      </c>
      <c r="C413" s="50" t="s">
        <v>509</v>
      </c>
      <c r="D413" s="8" t="s">
        <v>3315</v>
      </c>
      <c r="E413" s="50" t="s">
        <v>1068</v>
      </c>
      <c r="F413" s="8"/>
      <c r="G413" s="50"/>
      <c r="H413" s="50" t="s">
        <v>2799</v>
      </c>
    </row>
    <row r="414" spans="1:8" x14ac:dyDescent="0.25">
      <c r="A414" s="50" t="s">
        <v>2553</v>
      </c>
      <c r="B414" s="50" t="s">
        <v>228</v>
      </c>
      <c r="C414" s="50" t="s">
        <v>509</v>
      </c>
      <c r="D414" s="8" t="s">
        <v>3315</v>
      </c>
      <c r="E414" s="50" t="s">
        <v>1068</v>
      </c>
      <c r="F414" s="8"/>
      <c r="G414" s="50"/>
      <c r="H414" s="50" t="s">
        <v>2799</v>
      </c>
    </row>
    <row r="415" spans="1:8" x14ac:dyDescent="0.25">
      <c r="A415" s="50" t="s">
        <v>2553</v>
      </c>
      <c r="B415" s="50" t="s">
        <v>228</v>
      </c>
      <c r="C415" s="50" t="s">
        <v>509</v>
      </c>
      <c r="D415" s="8" t="s">
        <v>3315</v>
      </c>
      <c r="E415" s="50" t="s">
        <v>1068</v>
      </c>
      <c r="F415" s="8"/>
      <c r="G415" s="50"/>
      <c r="H415" s="50" t="s">
        <v>2799</v>
      </c>
    </row>
    <row r="416" spans="1:8" x14ac:dyDescent="0.25">
      <c r="A416" s="50" t="s">
        <v>2553</v>
      </c>
      <c r="B416" s="50" t="s">
        <v>228</v>
      </c>
      <c r="C416" s="50" t="s">
        <v>395</v>
      </c>
      <c r="D416" s="8" t="s">
        <v>3317</v>
      </c>
      <c r="E416" s="50" t="s">
        <v>1068</v>
      </c>
      <c r="F416" s="8"/>
      <c r="G416" s="50"/>
      <c r="H416" s="50" t="s">
        <v>2799</v>
      </c>
    </row>
    <row r="417" spans="1:8" x14ac:dyDescent="0.25">
      <c r="A417" s="50" t="s">
        <v>2553</v>
      </c>
      <c r="B417" s="50" t="s">
        <v>228</v>
      </c>
      <c r="C417" s="50" t="s">
        <v>509</v>
      </c>
      <c r="D417" s="8" t="s">
        <v>2976</v>
      </c>
      <c r="E417" s="50" t="s">
        <v>1068</v>
      </c>
      <c r="F417" s="8"/>
      <c r="G417" s="50"/>
      <c r="H417" s="50" t="s">
        <v>2799</v>
      </c>
    </row>
    <row r="418" spans="1:8" x14ac:dyDescent="0.25">
      <c r="A418" s="50" t="s">
        <v>2553</v>
      </c>
      <c r="B418" s="50" t="s">
        <v>228</v>
      </c>
      <c r="C418" s="50" t="s">
        <v>509</v>
      </c>
      <c r="D418" s="8" t="s">
        <v>3318</v>
      </c>
      <c r="E418" s="50" t="s">
        <v>1068</v>
      </c>
      <c r="F418" s="8"/>
      <c r="G418" s="50"/>
      <c r="H418" s="50" t="s">
        <v>2799</v>
      </c>
    </row>
    <row r="419" spans="1:8" x14ac:dyDescent="0.25">
      <c r="A419" s="50" t="s">
        <v>2553</v>
      </c>
      <c r="B419" s="50" t="s">
        <v>228</v>
      </c>
      <c r="C419" s="50" t="s">
        <v>509</v>
      </c>
      <c r="D419" s="8" t="s">
        <v>3000</v>
      </c>
      <c r="E419" s="50" t="s">
        <v>1068</v>
      </c>
      <c r="F419" s="8"/>
      <c r="G419" s="50"/>
      <c r="H419" s="50" t="s">
        <v>2799</v>
      </c>
    </row>
    <row r="420" spans="1:8" x14ac:dyDescent="0.25">
      <c r="A420" s="50" t="s">
        <v>2553</v>
      </c>
      <c r="B420" s="50" t="s">
        <v>228</v>
      </c>
      <c r="C420" s="50" t="s">
        <v>411</v>
      </c>
      <c r="D420" s="8" t="s">
        <v>3319</v>
      </c>
      <c r="E420" s="50" t="s">
        <v>1068</v>
      </c>
      <c r="F420" s="8"/>
      <c r="G420" s="50"/>
      <c r="H420" s="50" t="s">
        <v>2862</v>
      </c>
    </row>
    <row r="421" spans="1:8" x14ac:dyDescent="0.25">
      <c r="A421" s="50" t="s">
        <v>2553</v>
      </c>
      <c r="B421" s="50" t="s">
        <v>228</v>
      </c>
      <c r="C421" s="50" t="s">
        <v>509</v>
      </c>
      <c r="D421" s="8" t="s">
        <v>3099</v>
      </c>
      <c r="E421" s="50" t="s">
        <v>1068</v>
      </c>
      <c r="F421" s="8"/>
      <c r="G421" s="50"/>
      <c r="H421" s="50" t="s">
        <v>2862</v>
      </c>
    </row>
    <row r="422" spans="1:8" x14ac:dyDescent="0.25">
      <c r="A422" s="50" t="s">
        <v>2553</v>
      </c>
      <c r="B422" s="50" t="s">
        <v>228</v>
      </c>
      <c r="C422" s="50" t="s">
        <v>395</v>
      </c>
      <c r="D422" s="8" t="s">
        <v>3320</v>
      </c>
      <c r="E422" s="50" t="s">
        <v>1068</v>
      </c>
      <c r="F422" s="8"/>
      <c r="G422" s="50"/>
      <c r="H422" s="50" t="s">
        <v>2862</v>
      </c>
    </row>
    <row r="423" spans="1:8" x14ac:dyDescent="0.25">
      <c r="A423" s="50" t="s">
        <v>2553</v>
      </c>
      <c r="B423" s="50" t="s">
        <v>228</v>
      </c>
      <c r="C423" s="50" t="s">
        <v>395</v>
      </c>
      <c r="D423" s="8" t="s">
        <v>3321</v>
      </c>
      <c r="E423" s="50" t="s">
        <v>1068</v>
      </c>
      <c r="F423" s="8"/>
      <c r="G423" s="50"/>
      <c r="H423" s="50" t="s">
        <v>2862</v>
      </c>
    </row>
    <row r="424" spans="1:8" x14ac:dyDescent="0.25">
      <c r="A424" s="50" t="s">
        <v>2553</v>
      </c>
      <c r="B424" s="50" t="s">
        <v>228</v>
      </c>
      <c r="C424" s="50" t="s">
        <v>448</v>
      </c>
      <c r="D424" s="8" t="s">
        <v>3322</v>
      </c>
      <c r="E424" s="50" t="s">
        <v>1068</v>
      </c>
      <c r="F424" s="8"/>
      <c r="G424" s="50"/>
      <c r="H424" s="50" t="s">
        <v>2862</v>
      </c>
    </row>
    <row r="425" spans="1:8" x14ac:dyDescent="0.25">
      <c r="A425" s="50" t="s">
        <v>2553</v>
      </c>
      <c r="B425" s="50" t="s">
        <v>228</v>
      </c>
      <c r="C425" s="50" t="s">
        <v>448</v>
      </c>
      <c r="D425" s="8" t="s">
        <v>3323</v>
      </c>
      <c r="E425" s="50" t="s">
        <v>1068</v>
      </c>
      <c r="F425" s="8"/>
      <c r="G425" s="50"/>
      <c r="H425" s="50" t="s">
        <v>2862</v>
      </c>
    </row>
    <row r="426" spans="1:8" x14ac:dyDescent="0.25">
      <c r="A426" s="50" t="s">
        <v>2553</v>
      </c>
      <c r="B426" s="50" t="s">
        <v>228</v>
      </c>
      <c r="C426" s="50" t="s">
        <v>448</v>
      </c>
      <c r="D426" s="8" t="s">
        <v>3324</v>
      </c>
      <c r="E426" s="50" t="s">
        <v>1068</v>
      </c>
      <c r="F426" s="8"/>
      <c r="G426" s="50"/>
      <c r="H426" s="50" t="s">
        <v>2589</v>
      </c>
    </row>
    <row r="427" spans="1:8" x14ac:dyDescent="0.25">
      <c r="A427" s="50" t="s">
        <v>2553</v>
      </c>
      <c r="B427" s="50" t="s">
        <v>228</v>
      </c>
      <c r="C427" s="50" t="s">
        <v>395</v>
      </c>
      <c r="D427" s="8" t="s">
        <v>3325</v>
      </c>
      <c r="E427" s="50" t="s">
        <v>1068</v>
      </c>
      <c r="F427" s="8"/>
      <c r="G427" s="50"/>
      <c r="H427" s="50" t="s">
        <v>2589</v>
      </c>
    </row>
    <row r="428" spans="1:8" x14ac:dyDescent="0.25">
      <c r="A428" s="50" t="s">
        <v>2553</v>
      </c>
      <c r="B428" s="50" t="s">
        <v>228</v>
      </c>
      <c r="C428" s="50" t="s">
        <v>448</v>
      </c>
      <c r="D428" s="8" t="s">
        <v>3326</v>
      </c>
      <c r="E428" s="50" t="s">
        <v>1068</v>
      </c>
      <c r="F428" s="8"/>
      <c r="G428" s="50"/>
      <c r="H428" s="50" t="s">
        <v>2589</v>
      </c>
    </row>
    <row r="429" spans="1:8" x14ac:dyDescent="0.25">
      <c r="A429" s="50" t="s">
        <v>2553</v>
      </c>
      <c r="B429" s="50" t="s">
        <v>228</v>
      </c>
      <c r="C429" s="50" t="s">
        <v>395</v>
      </c>
      <c r="D429" s="8" t="s">
        <v>3327</v>
      </c>
      <c r="E429" s="50" t="s">
        <v>1068</v>
      </c>
      <c r="F429" s="8"/>
      <c r="G429" s="50"/>
      <c r="H429" s="50" t="s">
        <v>2589</v>
      </c>
    </row>
    <row r="430" spans="1:8" x14ac:dyDescent="0.25">
      <c r="A430" s="50" t="s">
        <v>2553</v>
      </c>
      <c r="B430" s="50" t="s">
        <v>228</v>
      </c>
      <c r="C430" s="50" t="s">
        <v>395</v>
      </c>
      <c r="D430" s="8" t="s">
        <v>3328</v>
      </c>
      <c r="E430" s="50" t="s">
        <v>1068</v>
      </c>
      <c r="F430" s="8"/>
      <c r="G430" s="50"/>
      <c r="H430" s="50" t="s">
        <v>2589</v>
      </c>
    </row>
    <row r="431" spans="1:8" x14ac:dyDescent="0.25">
      <c r="A431" s="50" t="s">
        <v>2553</v>
      </c>
      <c r="B431" s="50" t="s">
        <v>228</v>
      </c>
      <c r="C431" s="50" t="s">
        <v>448</v>
      </c>
      <c r="D431" s="8" t="s">
        <v>3329</v>
      </c>
      <c r="E431" s="50" t="s">
        <v>1068</v>
      </c>
      <c r="F431" s="8"/>
      <c r="G431" s="50"/>
      <c r="H431" s="50" t="s">
        <v>2589</v>
      </c>
    </row>
    <row r="432" spans="1:8" x14ac:dyDescent="0.25">
      <c r="A432" s="50" t="s">
        <v>2553</v>
      </c>
      <c r="B432" s="50" t="s">
        <v>228</v>
      </c>
      <c r="C432" s="50" t="s">
        <v>509</v>
      </c>
      <c r="D432" s="8" t="s">
        <v>2953</v>
      </c>
      <c r="E432" s="50" t="s">
        <v>1068</v>
      </c>
      <c r="F432" s="8"/>
      <c r="G432" s="50"/>
      <c r="H432" s="50" t="s">
        <v>2589</v>
      </c>
    </row>
    <row r="433" spans="1:8" x14ac:dyDescent="0.25">
      <c r="A433" s="50" t="s">
        <v>2553</v>
      </c>
      <c r="B433" s="50" t="s">
        <v>228</v>
      </c>
      <c r="C433" s="50" t="s">
        <v>509</v>
      </c>
      <c r="D433" s="8" t="s">
        <v>3330</v>
      </c>
      <c r="E433" s="50" t="s">
        <v>1068</v>
      </c>
      <c r="F433" s="8"/>
      <c r="G433" s="50"/>
      <c r="H433" s="50" t="s">
        <v>2589</v>
      </c>
    </row>
    <row r="434" spans="1:8" x14ac:dyDescent="0.25">
      <c r="A434" s="50" t="s">
        <v>2553</v>
      </c>
      <c r="B434" s="50" t="s">
        <v>228</v>
      </c>
      <c r="C434" s="50" t="s">
        <v>509</v>
      </c>
      <c r="D434" s="8" t="s">
        <v>3331</v>
      </c>
      <c r="E434" s="50" t="s">
        <v>1068</v>
      </c>
      <c r="F434" s="8"/>
      <c r="G434" s="50"/>
      <c r="H434" s="50" t="s">
        <v>2589</v>
      </c>
    </row>
    <row r="435" spans="1:8" x14ac:dyDescent="0.25">
      <c r="A435" s="50" t="s">
        <v>2553</v>
      </c>
      <c r="B435" s="50" t="s">
        <v>228</v>
      </c>
      <c r="C435" s="50" t="s">
        <v>448</v>
      </c>
      <c r="D435" s="8" t="s">
        <v>3332</v>
      </c>
      <c r="E435" s="50" t="s">
        <v>1068</v>
      </c>
      <c r="F435" s="8"/>
      <c r="G435" s="50"/>
      <c r="H435" s="50" t="s">
        <v>2589</v>
      </c>
    </row>
    <row r="436" spans="1:8" x14ac:dyDescent="0.25">
      <c r="A436" s="50" t="s">
        <v>2553</v>
      </c>
      <c r="B436" s="50" t="s">
        <v>228</v>
      </c>
      <c r="C436" s="50" t="s">
        <v>395</v>
      </c>
      <c r="D436" s="8" t="s">
        <v>3333</v>
      </c>
      <c r="E436" s="50" t="s">
        <v>1068</v>
      </c>
      <c r="F436" s="8"/>
      <c r="G436" s="50"/>
      <c r="H436" s="50" t="s">
        <v>2701</v>
      </c>
    </row>
    <row r="437" spans="1:8" x14ac:dyDescent="0.25">
      <c r="A437" s="50" t="s">
        <v>2553</v>
      </c>
      <c r="B437" s="50" t="s">
        <v>228</v>
      </c>
      <c r="C437" s="50" t="s">
        <v>395</v>
      </c>
      <c r="D437" s="8" t="s">
        <v>3334</v>
      </c>
      <c r="E437" s="50" t="s">
        <v>1068</v>
      </c>
      <c r="F437" s="8"/>
      <c r="G437" s="50"/>
      <c r="H437" s="50" t="s">
        <v>2701</v>
      </c>
    </row>
    <row r="438" spans="1:8" x14ac:dyDescent="0.25">
      <c r="A438" s="50" t="s">
        <v>2553</v>
      </c>
      <c r="B438" s="50" t="s">
        <v>228</v>
      </c>
      <c r="C438" s="50" t="s">
        <v>509</v>
      </c>
      <c r="D438" s="8" t="s">
        <v>3187</v>
      </c>
      <c r="E438" s="50" t="s">
        <v>1068</v>
      </c>
      <c r="F438" s="8"/>
      <c r="G438" s="50"/>
      <c r="H438" s="50" t="s">
        <v>2701</v>
      </c>
    </row>
    <row r="439" spans="1:8" x14ac:dyDescent="0.25">
      <c r="A439" s="50" t="s">
        <v>2553</v>
      </c>
      <c r="B439" s="50" t="s">
        <v>228</v>
      </c>
      <c r="C439" s="50" t="s">
        <v>395</v>
      </c>
      <c r="D439" s="8" t="s">
        <v>3335</v>
      </c>
      <c r="E439" s="50" t="s">
        <v>1068</v>
      </c>
      <c r="F439" s="8"/>
      <c r="G439" s="50"/>
      <c r="H439" s="50" t="s">
        <v>2713</v>
      </c>
    </row>
    <row r="440" spans="1:8" x14ac:dyDescent="0.25">
      <c r="A440" s="50" t="s">
        <v>2553</v>
      </c>
      <c r="B440" s="50" t="s">
        <v>228</v>
      </c>
      <c r="C440" s="50" t="s">
        <v>395</v>
      </c>
      <c r="D440" s="8" t="s">
        <v>3336</v>
      </c>
      <c r="E440" s="50" t="s">
        <v>1068</v>
      </c>
      <c r="F440" s="8"/>
      <c r="G440" s="50"/>
      <c r="H440" s="50" t="s">
        <v>2713</v>
      </c>
    </row>
    <row r="441" spans="1:8" x14ac:dyDescent="0.25">
      <c r="A441" s="50" t="s">
        <v>2553</v>
      </c>
      <c r="B441" s="50" t="s">
        <v>228</v>
      </c>
      <c r="C441" s="50" t="s">
        <v>395</v>
      </c>
      <c r="D441" s="8" t="s">
        <v>3337</v>
      </c>
      <c r="E441" s="50" t="s">
        <v>1068</v>
      </c>
      <c r="F441" s="8"/>
      <c r="G441" s="50"/>
      <c r="H441" s="50" t="s">
        <v>2713</v>
      </c>
    </row>
    <row r="442" spans="1:8" x14ac:dyDescent="0.25">
      <c r="A442" s="50" t="s">
        <v>2553</v>
      </c>
      <c r="B442" s="50" t="s">
        <v>228</v>
      </c>
      <c r="C442" s="50" t="s">
        <v>395</v>
      </c>
      <c r="D442" s="8" t="s">
        <v>3338</v>
      </c>
      <c r="E442" s="50" t="s">
        <v>1068</v>
      </c>
      <c r="F442" s="8"/>
      <c r="G442" s="50"/>
      <c r="H442" s="50" t="s">
        <v>2713</v>
      </c>
    </row>
    <row r="443" spans="1:8" x14ac:dyDescent="0.25">
      <c r="A443" s="50" t="s">
        <v>2553</v>
      </c>
      <c r="B443" s="50" t="s">
        <v>228</v>
      </c>
      <c r="C443" s="50" t="s">
        <v>448</v>
      </c>
      <c r="D443" s="8" t="s">
        <v>3339</v>
      </c>
      <c r="E443" s="50" t="s">
        <v>1068</v>
      </c>
      <c r="F443" s="8"/>
      <c r="G443" s="50"/>
      <c r="H443" s="50" t="s">
        <v>2713</v>
      </c>
    </row>
    <row r="444" spans="1:8" x14ac:dyDescent="0.25">
      <c r="A444" s="50" t="s">
        <v>2553</v>
      </c>
      <c r="B444" s="50" t="s">
        <v>228</v>
      </c>
      <c r="C444" s="50" t="s">
        <v>448</v>
      </c>
      <c r="D444" s="8" t="s">
        <v>3340</v>
      </c>
      <c r="E444" s="50" t="s">
        <v>1068</v>
      </c>
      <c r="F444" s="8"/>
      <c r="G444" s="50"/>
      <c r="H444" s="50" t="s">
        <v>2713</v>
      </c>
    </row>
    <row r="445" spans="1:8" x14ac:dyDescent="0.25">
      <c r="A445" s="50" t="s">
        <v>2553</v>
      </c>
      <c r="B445" s="50" t="s">
        <v>228</v>
      </c>
      <c r="C445" s="50" t="s">
        <v>448</v>
      </c>
      <c r="D445" s="8" t="s">
        <v>3341</v>
      </c>
      <c r="E445" s="50" t="s">
        <v>1068</v>
      </c>
      <c r="F445" s="8"/>
      <c r="G445" s="50"/>
      <c r="H445" s="50" t="s">
        <v>2713</v>
      </c>
    </row>
    <row r="446" spans="1:8" x14ac:dyDescent="0.25">
      <c r="A446" s="50" t="s">
        <v>2553</v>
      </c>
      <c r="B446" s="50" t="s">
        <v>228</v>
      </c>
      <c r="C446" s="50" t="s">
        <v>395</v>
      </c>
      <c r="D446" s="8" t="s">
        <v>3342</v>
      </c>
      <c r="E446" s="50" t="s">
        <v>1068</v>
      </c>
      <c r="F446" s="8"/>
      <c r="G446" s="50"/>
      <c r="H446" s="50" t="s">
        <v>2713</v>
      </c>
    </row>
    <row r="447" spans="1:8" x14ac:dyDescent="0.25">
      <c r="A447" s="50" t="s">
        <v>2553</v>
      </c>
      <c r="B447" s="50" t="s">
        <v>228</v>
      </c>
      <c r="C447" s="50" t="s">
        <v>395</v>
      </c>
      <c r="D447" s="8" t="s">
        <v>3343</v>
      </c>
      <c r="E447" s="50" t="s">
        <v>1068</v>
      </c>
      <c r="F447" s="8"/>
      <c r="G447" s="50"/>
      <c r="H447" s="50" t="s">
        <v>2775</v>
      </c>
    </row>
    <row r="448" spans="1:8" x14ac:dyDescent="0.25">
      <c r="A448" s="50" t="s">
        <v>2553</v>
      </c>
      <c r="B448" s="50" t="s">
        <v>228</v>
      </c>
      <c r="C448" s="50" t="s">
        <v>448</v>
      </c>
      <c r="D448" s="8" t="s">
        <v>3344</v>
      </c>
      <c r="E448" s="50" t="s">
        <v>1068</v>
      </c>
      <c r="F448" s="8"/>
      <c r="G448" s="50"/>
      <c r="H448" s="50" t="s">
        <v>2775</v>
      </c>
    </row>
    <row r="449" spans="1:8" x14ac:dyDescent="0.25">
      <c r="A449" s="50" t="s">
        <v>2553</v>
      </c>
      <c r="B449" s="50" t="s">
        <v>228</v>
      </c>
      <c r="C449" s="50" t="s">
        <v>395</v>
      </c>
      <c r="D449" s="8" t="s">
        <v>3345</v>
      </c>
      <c r="E449" s="50" t="s">
        <v>1068</v>
      </c>
      <c r="F449" s="8"/>
      <c r="G449" s="50"/>
      <c r="H449" s="50" t="s">
        <v>2775</v>
      </c>
    </row>
    <row r="450" spans="1:8" x14ac:dyDescent="0.25">
      <c r="A450" s="50" t="s">
        <v>2553</v>
      </c>
      <c r="B450" s="50" t="s">
        <v>228</v>
      </c>
      <c r="C450" s="50" t="s">
        <v>448</v>
      </c>
      <c r="D450" s="8" t="s">
        <v>3346</v>
      </c>
      <c r="E450" s="50" t="s">
        <v>1068</v>
      </c>
      <c r="F450" s="8"/>
      <c r="G450" s="50"/>
      <c r="H450" s="50" t="s">
        <v>2775</v>
      </c>
    </row>
    <row r="451" spans="1:8" x14ac:dyDescent="0.25">
      <c r="A451" s="50" t="s">
        <v>2553</v>
      </c>
      <c r="B451" s="50" t="s">
        <v>228</v>
      </c>
      <c r="C451" s="50" t="s">
        <v>448</v>
      </c>
      <c r="D451" s="8" t="s">
        <v>3347</v>
      </c>
      <c r="E451" s="50" t="s">
        <v>1068</v>
      </c>
      <c r="F451" s="8"/>
      <c r="G451" s="50"/>
      <c r="H451" s="50" t="s">
        <v>2775</v>
      </c>
    </row>
    <row r="452" spans="1:8" x14ac:dyDescent="0.25">
      <c r="A452" s="50" t="s">
        <v>2553</v>
      </c>
      <c r="B452" s="50" t="s">
        <v>228</v>
      </c>
      <c r="C452" s="50" t="s">
        <v>395</v>
      </c>
      <c r="D452" s="8" t="s">
        <v>3348</v>
      </c>
      <c r="E452" s="50" t="s">
        <v>1068</v>
      </c>
      <c r="F452" s="8"/>
      <c r="G452" s="50"/>
      <c r="H452" s="50" t="s">
        <v>2775</v>
      </c>
    </row>
    <row r="453" spans="1:8" x14ac:dyDescent="0.25">
      <c r="A453" s="50" t="s">
        <v>2553</v>
      </c>
      <c r="B453" s="50" t="s">
        <v>228</v>
      </c>
      <c r="C453" s="50" t="s">
        <v>395</v>
      </c>
      <c r="D453" s="8" t="s">
        <v>3349</v>
      </c>
      <c r="E453" s="50" t="s">
        <v>1068</v>
      </c>
      <c r="F453" s="8"/>
      <c r="G453" s="50"/>
      <c r="H453" s="50" t="s">
        <v>2643</v>
      </c>
    </row>
    <row r="454" spans="1:8" x14ac:dyDescent="0.25">
      <c r="A454" s="50" t="s">
        <v>2553</v>
      </c>
      <c r="B454" s="50" t="s">
        <v>228</v>
      </c>
      <c r="C454" s="50" t="s">
        <v>395</v>
      </c>
      <c r="D454" s="8" t="s">
        <v>3350</v>
      </c>
      <c r="E454" s="50" t="s">
        <v>1068</v>
      </c>
      <c r="F454" s="8"/>
      <c r="G454" s="50"/>
      <c r="H454" s="50" t="s">
        <v>2643</v>
      </c>
    </row>
    <row r="455" spans="1:8" x14ac:dyDescent="0.25">
      <c r="A455" s="50" t="s">
        <v>2553</v>
      </c>
      <c r="B455" s="50" t="s">
        <v>228</v>
      </c>
      <c r="C455" s="50" t="s">
        <v>509</v>
      </c>
      <c r="D455" s="8" t="s">
        <v>2976</v>
      </c>
      <c r="E455" s="50" t="s">
        <v>1068</v>
      </c>
      <c r="F455" s="8"/>
      <c r="G455" s="50"/>
      <c r="H455" s="50" t="s">
        <v>2643</v>
      </c>
    </row>
    <row r="456" spans="1:8" x14ac:dyDescent="0.25">
      <c r="A456" s="50" t="s">
        <v>2553</v>
      </c>
      <c r="B456" s="50" t="s">
        <v>228</v>
      </c>
      <c r="C456" s="50" t="s">
        <v>448</v>
      </c>
      <c r="D456" s="8" t="s">
        <v>3351</v>
      </c>
      <c r="E456" s="50" t="s">
        <v>1068</v>
      </c>
      <c r="F456" s="8"/>
      <c r="G456" s="50"/>
      <c r="H456" s="50" t="s">
        <v>2643</v>
      </c>
    </row>
    <row r="457" spans="1:8" x14ac:dyDescent="0.25">
      <c r="A457" s="50" t="s">
        <v>2553</v>
      </c>
      <c r="B457" s="50" t="s">
        <v>228</v>
      </c>
      <c r="C457" s="50" t="s">
        <v>395</v>
      </c>
      <c r="D457" s="8" t="s">
        <v>3352</v>
      </c>
      <c r="E457" s="50" t="s">
        <v>1068</v>
      </c>
      <c r="F457" s="8"/>
      <c r="G457" s="50"/>
      <c r="H457" s="50" t="s">
        <v>2643</v>
      </c>
    </row>
    <row r="458" spans="1:8" x14ac:dyDescent="0.25">
      <c r="A458" s="50" t="s">
        <v>2553</v>
      </c>
      <c r="B458" s="50" t="s">
        <v>228</v>
      </c>
      <c r="C458" s="50" t="s">
        <v>395</v>
      </c>
      <c r="D458" s="8" t="s">
        <v>3353</v>
      </c>
      <c r="E458" s="50" t="s">
        <v>1068</v>
      </c>
      <c r="F458" s="8"/>
      <c r="G458" s="50"/>
      <c r="H458" s="50" t="s">
        <v>2643</v>
      </c>
    </row>
    <row r="459" spans="1:8" x14ac:dyDescent="0.25">
      <c r="A459" s="50" t="s">
        <v>2553</v>
      </c>
      <c r="B459" s="50" t="s">
        <v>228</v>
      </c>
      <c r="C459" s="50" t="s">
        <v>448</v>
      </c>
      <c r="D459" s="8" t="s">
        <v>3354</v>
      </c>
      <c r="E459" s="50" t="s">
        <v>1068</v>
      </c>
      <c r="F459" s="8"/>
      <c r="G459" s="50"/>
      <c r="H459" s="50" t="s">
        <v>2593</v>
      </c>
    </row>
    <row r="460" spans="1:8" x14ac:dyDescent="0.25">
      <c r="A460" s="50" t="s">
        <v>2553</v>
      </c>
      <c r="B460" s="50" t="s">
        <v>228</v>
      </c>
      <c r="C460" s="50" t="s">
        <v>509</v>
      </c>
      <c r="D460" s="8" t="s">
        <v>3355</v>
      </c>
      <c r="E460" s="50" t="s">
        <v>1068</v>
      </c>
      <c r="F460" s="8"/>
      <c r="G460" s="50"/>
      <c r="H460" s="50" t="s">
        <v>2593</v>
      </c>
    </row>
    <row r="461" spans="1:8" x14ac:dyDescent="0.25">
      <c r="A461" s="50" t="s">
        <v>2553</v>
      </c>
      <c r="B461" s="50" t="s">
        <v>228</v>
      </c>
      <c r="C461" s="50" t="s">
        <v>448</v>
      </c>
      <c r="D461" s="8" t="s">
        <v>3356</v>
      </c>
      <c r="E461" s="50" t="s">
        <v>1068</v>
      </c>
      <c r="F461" s="8"/>
      <c r="G461" s="50"/>
      <c r="H461" s="50" t="s">
        <v>2593</v>
      </c>
    </row>
    <row r="462" spans="1:8" x14ac:dyDescent="0.25">
      <c r="A462" s="50" t="s">
        <v>2553</v>
      </c>
      <c r="B462" s="50" t="s">
        <v>228</v>
      </c>
      <c r="C462" s="50" t="s">
        <v>509</v>
      </c>
      <c r="D462" s="8" t="s">
        <v>3357</v>
      </c>
      <c r="E462" s="50" t="s">
        <v>1068</v>
      </c>
      <c r="F462" s="8"/>
      <c r="G462" s="50"/>
      <c r="H462" s="50" t="s">
        <v>2593</v>
      </c>
    </row>
    <row r="463" spans="1:8" x14ac:dyDescent="0.25">
      <c r="A463" s="50" t="s">
        <v>2553</v>
      </c>
      <c r="B463" s="50" t="s">
        <v>228</v>
      </c>
      <c r="C463" s="50" t="s">
        <v>448</v>
      </c>
      <c r="D463" s="8" t="s">
        <v>3358</v>
      </c>
      <c r="E463" s="50" t="s">
        <v>1068</v>
      </c>
      <c r="F463" s="8"/>
      <c r="G463" s="50"/>
      <c r="H463" s="50" t="s">
        <v>2756</v>
      </c>
    </row>
    <row r="464" spans="1:8" ht="25.5" x14ac:dyDescent="0.25">
      <c r="A464" s="50" t="s">
        <v>2553</v>
      </c>
      <c r="B464" s="50" t="s">
        <v>228</v>
      </c>
      <c r="C464" s="50" t="s">
        <v>448</v>
      </c>
      <c r="D464" s="8" t="s">
        <v>3359</v>
      </c>
      <c r="E464" s="50" t="s">
        <v>1068</v>
      </c>
      <c r="F464" s="8"/>
      <c r="G464" s="50"/>
      <c r="H464" s="50" t="s">
        <v>2756</v>
      </c>
    </row>
    <row r="465" spans="1:8" ht="38.25" x14ac:dyDescent="0.25">
      <c r="A465" s="50" t="s">
        <v>2553</v>
      </c>
      <c r="B465" s="50" t="s">
        <v>228</v>
      </c>
      <c r="C465" s="50" t="s">
        <v>448</v>
      </c>
      <c r="D465" s="8" t="s">
        <v>3360</v>
      </c>
      <c r="E465" s="50" t="s">
        <v>1068</v>
      </c>
      <c r="F465" s="8"/>
      <c r="G465" s="50"/>
      <c r="H465" s="50" t="s">
        <v>2756</v>
      </c>
    </row>
    <row r="466" spans="1:8" x14ac:dyDescent="0.25">
      <c r="A466" s="50" t="s">
        <v>2553</v>
      </c>
      <c r="B466" s="50" t="s">
        <v>228</v>
      </c>
      <c r="C466" s="50" t="s">
        <v>448</v>
      </c>
      <c r="D466" s="8" t="s">
        <v>3361</v>
      </c>
      <c r="E466" s="50" t="s">
        <v>1068</v>
      </c>
      <c r="F466" s="8"/>
      <c r="G466" s="50"/>
      <c r="H466" s="50" t="s">
        <v>2671</v>
      </c>
    </row>
    <row r="467" spans="1:8" x14ac:dyDescent="0.25">
      <c r="A467" s="50" t="s">
        <v>2553</v>
      </c>
      <c r="B467" s="50" t="s">
        <v>228</v>
      </c>
      <c r="C467" s="50" t="s">
        <v>448</v>
      </c>
      <c r="D467" s="8" t="s">
        <v>3362</v>
      </c>
      <c r="E467" s="50" t="s">
        <v>1068</v>
      </c>
      <c r="F467" s="8"/>
      <c r="G467" s="50"/>
      <c r="H467" s="50" t="s">
        <v>2671</v>
      </c>
    </row>
    <row r="468" spans="1:8" x14ac:dyDescent="0.25">
      <c r="A468" s="50" t="s">
        <v>2553</v>
      </c>
      <c r="B468" s="50" t="s">
        <v>228</v>
      </c>
      <c r="C468" s="50" t="s">
        <v>395</v>
      </c>
      <c r="D468" s="8" t="s">
        <v>3363</v>
      </c>
      <c r="E468" s="50" t="s">
        <v>1068</v>
      </c>
      <c r="F468" s="8"/>
      <c r="G468" s="50"/>
      <c r="H468" s="50" t="s">
        <v>2671</v>
      </c>
    </row>
    <row r="469" spans="1:8" x14ac:dyDescent="0.25">
      <c r="A469" s="50" t="s">
        <v>2553</v>
      </c>
      <c r="B469" s="50" t="s">
        <v>228</v>
      </c>
      <c r="C469" s="50" t="s">
        <v>509</v>
      </c>
      <c r="D469" s="8" t="s">
        <v>3364</v>
      </c>
      <c r="E469" s="50" t="s">
        <v>1068</v>
      </c>
      <c r="F469" s="8"/>
      <c r="G469" s="50"/>
      <c r="H469" s="50" t="s">
        <v>2671</v>
      </c>
    </row>
    <row r="470" spans="1:8" x14ac:dyDescent="0.25">
      <c r="A470" s="50" t="s">
        <v>2553</v>
      </c>
      <c r="B470" s="50" t="s">
        <v>228</v>
      </c>
      <c r="C470" s="50" t="s">
        <v>509</v>
      </c>
      <c r="D470" s="8" t="s">
        <v>3000</v>
      </c>
      <c r="E470" s="50" t="s">
        <v>1068</v>
      </c>
      <c r="F470" s="8"/>
      <c r="G470" s="50"/>
      <c r="H470" s="50" t="s">
        <v>2671</v>
      </c>
    </row>
    <row r="471" spans="1:8" x14ac:dyDescent="0.25">
      <c r="A471" s="50" t="s">
        <v>2553</v>
      </c>
      <c r="B471" s="50" t="s">
        <v>228</v>
      </c>
      <c r="C471" s="50" t="s">
        <v>448</v>
      </c>
      <c r="D471" s="8" t="s">
        <v>3365</v>
      </c>
      <c r="E471" s="50" t="s">
        <v>1068</v>
      </c>
      <c r="F471" s="8"/>
      <c r="G471" s="50"/>
      <c r="H471" s="50" t="s">
        <v>2721</v>
      </c>
    </row>
    <row r="472" spans="1:8" x14ac:dyDescent="0.25">
      <c r="A472" s="50" t="s">
        <v>2553</v>
      </c>
      <c r="B472" s="50" t="s">
        <v>228</v>
      </c>
      <c r="C472" s="50" t="s">
        <v>448</v>
      </c>
      <c r="D472" s="8" t="s">
        <v>3366</v>
      </c>
      <c r="E472" s="50" t="s">
        <v>1068</v>
      </c>
      <c r="F472" s="8"/>
      <c r="G472" s="50"/>
      <c r="H472" s="50" t="s">
        <v>2721</v>
      </c>
    </row>
    <row r="473" spans="1:8" x14ac:dyDescent="0.25">
      <c r="A473" s="50" t="s">
        <v>2553</v>
      </c>
      <c r="B473" s="50" t="s">
        <v>228</v>
      </c>
      <c r="C473" s="50" t="s">
        <v>448</v>
      </c>
      <c r="D473" s="8" t="s">
        <v>3367</v>
      </c>
      <c r="E473" s="50" t="s">
        <v>1068</v>
      </c>
      <c r="F473" s="8"/>
      <c r="G473" s="50"/>
      <c r="H473" s="50" t="s">
        <v>2721</v>
      </c>
    </row>
  </sheetData>
  <autoFilter ref="A1:H473" xr:uid="{00000000-0009-0000-0000-00000F000000}"/>
  <hyperlinks>
    <hyperlink ref="H2" r:id="rId1" xr:uid="{00000000-0004-0000-0F00-000000000000}"/>
    <hyperlink ref="H3" r:id="rId2" xr:uid="{00000000-0004-0000-0F00-000001000000}"/>
    <hyperlink ref="H4" r:id="rId3" xr:uid="{00000000-0004-0000-0F00-000002000000}"/>
    <hyperlink ref="H5" r:id="rId4" xr:uid="{00000000-0004-0000-0F00-000003000000}"/>
    <hyperlink ref="H6" r:id="rId5" xr:uid="{00000000-0004-0000-0F00-000004000000}"/>
    <hyperlink ref="H7" r:id="rId6" xr:uid="{00000000-0004-0000-0F00-000005000000}"/>
    <hyperlink ref="H8" r:id="rId7" xr:uid="{00000000-0004-0000-0F00-000006000000}"/>
    <hyperlink ref="H9" r:id="rId8" xr:uid="{00000000-0004-0000-0F00-000007000000}"/>
    <hyperlink ref="H10" r:id="rId9" xr:uid="{00000000-0004-0000-0F00-000008000000}"/>
    <hyperlink ref="H11" r:id="rId10" xr:uid="{00000000-0004-0000-0F00-000009000000}"/>
    <hyperlink ref="H12" r:id="rId11" xr:uid="{00000000-0004-0000-0F00-00000A000000}"/>
    <hyperlink ref="H13" r:id="rId12" xr:uid="{00000000-0004-0000-0F00-00000B000000}"/>
    <hyperlink ref="H14" r:id="rId13" xr:uid="{00000000-0004-0000-0F00-00000C000000}"/>
    <hyperlink ref="H15" r:id="rId14" xr:uid="{00000000-0004-0000-0F00-00000D000000}"/>
    <hyperlink ref="H16" r:id="rId15" xr:uid="{00000000-0004-0000-0F00-00000E000000}"/>
    <hyperlink ref="H17" r:id="rId16" xr:uid="{00000000-0004-0000-0F00-00000F000000}"/>
    <hyperlink ref="H18" r:id="rId17" xr:uid="{00000000-0004-0000-0F00-000010000000}"/>
    <hyperlink ref="H19" r:id="rId18" xr:uid="{00000000-0004-0000-0F00-000011000000}"/>
    <hyperlink ref="H20" r:id="rId19" xr:uid="{00000000-0004-0000-0F00-000012000000}"/>
    <hyperlink ref="H21" r:id="rId20" xr:uid="{00000000-0004-0000-0F00-000013000000}"/>
    <hyperlink ref="H22" r:id="rId21" xr:uid="{00000000-0004-0000-0F00-000014000000}"/>
    <hyperlink ref="H23" r:id="rId22" xr:uid="{00000000-0004-0000-0F00-000015000000}"/>
    <hyperlink ref="H24" r:id="rId23" xr:uid="{00000000-0004-0000-0F00-000016000000}"/>
    <hyperlink ref="H25" r:id="rId24" xr:uid="{00000000-0004-0000-0F00-000017000000}"/>
    <hyperlink ref="H26" r:id="rId25" xr:uid="{00000000-0004-0000-0F00-000018000000}"/>
    <hyperlink ref="H27" r:id="rId26" xr:uid="{00000000-0004-0000-0F00-000019000000}"/>
    <hyperlink ref="H28" r:id="rId27" xr:uid="{00000000-0004-0000-0F00-00001A000000}"/>
    <hyperlink ref="H29" r:id="rId28" xr:uid="{00000000-0004-0000-0F00-00001B000000}"/>
    <hyperlink ref="H30" r:id="rId29" xr:uid="{00000000-0004-0000-0F00-00001C000000}"/>
    <hyperlink ref="H31" r:id="rId30" xr:uid="{00000000-0004-0000-0F00-00001D000000}"/>
    <hyperlink ref="H32" r:id="rId31" xr:uid="{00000000-0004-0000-0F00-00001E000000}"/>
    <hyperlink ref="H33" r:id="rId32" xr:uid="{00000000-0004-0000-0F00-00001F000000}"/>
    <hyperlink ref="H34" r:id="rId33" xr:uid="{00000000-0004-0000-0F00-000020000000}"/>
    <hyperlink ref="H35" r:id="rId34" xr:uid="{00000000-0004-0000-0F00-000021000000}"/>
    <hyperlink ref="H36" r:id="rId35" xr:uid="{00000000-0004-0000-0F00-000022000000}"/>
    <hyperlink ref="H37" r:id="rId36" xr:uid="{00000000-0004-0000-0F00-000023000000}"/>
    <hyperlink ref="H38" r:id="rId37" xr:uid="{00000000-0004-0000-0F00-000024000000}"/>
    <hyperlink ref="H39" r:id="rId38" xr:uid="{00000000-0004-0000-0F00-000025000000}"/>
    <hyperlink ref="H40" r:id="rId39" xr:uid="{00000000-0004-0000-0F00-000026000000}"/>
    <hyperlink ref="H41" r:id="rId40" xr:uid="{00000000-0004-0000-0F00-000027000000}"/>
    <hyperlink ref="H42" r:id="rId41" xr:uid="{00000000-0004-0000-0F00-000028000000}"/>
    <hyperlink ref="H43" r:id="rId42" xr:uid="{00000000-0004-0000-0F00-000029000000}"/>
    <hyperlink ref="H44" r:id="rId43" xr:uid="{00000000-0004-0000-0F00-00002A000000}"/>
    <hyperlink ref="H45" r:id="rId44" xr:uid="{00000000-0004-0000-0F00-00002B000000}"/>
    <hyperlink ref="H46" r:id="rId45" xr:uid="{00000000-0004-0000-0F00-00002C000000}"/>
    <hyperlink ref="H47" r:id="rId46" xr:uid="{00000000-0004-0000-0F00-00002D000000}"/>
    <hyperlink ref="H48" r:id="rId47" xr:uid="{00000000-0004-0000-0F00-00002E000000}"/>
    <hyperlink ref="H49" r:id="rId48" xr:uid="{00000000-0004-0000-0F00-00002F000000}"/>
    <hyperlink ref="H50" r:id="rId49" xr:uid="{00000000-0004-0000-0F00-000030000000}"/>
    <hyperlink ref="H51" r:id="rId50" xr:uid="{00000000-0004-0000-0F00-000031000000}"/>
    <hyperlink ref="H52" r:id="rId51" xr:uid="{00000000-0004-0000-0F00-000032000000}"/>
    <hyperlink ref="H53" r:id="rId52" xr:uid="{00000000-0004-0000-0F00-000033000000}"/>
    <hyperlink ref="H54" r:id="rId53" xr:uid="{00000000-0004-0000-0F00-000034000000}"/>
    <hyperlink ref="H55" r:id="rId54" xr:uid="{00000000-0004-0000-0F00-000035000000}"/>
    <hyperlink ref="H56" r:id="rId55" xr:uid="{00000000-0004-0000-0F00-000036000000}"/>
    <hyperlink ref="H57" r:id="rId56" xr:uid="{00000000-0004-0000-0F00-000037000000}"/>
    <hyperlink ref="H58" r:id="rId57" xr:uid="{00000000-0004-0000-0F00-000038000000}"/>
    <hyperlink ref="H59" r:id="rId58" xr:uid="{00000000-0004-0000-0F00-000039000000}"/>
    <hyperlink ref="H60" r:id="rId59" xr:uid="{00000000-0004-0000-0F00-00003A000000}"/>
    <hyperlink ref="H61" r:id="rId60" xr:uid="{00000000-0004-0000-0F00-00003B000000}"/>
    <hyperlink ref="H62" r:id="rId61" xr:uid="{00000000-0004-0000-0F00-00003C000000}"/>
    <hyperlink ref="H63" r:id="rId62" xr:uid="{00000000-0004-0000-0F00-00003D000000}"/>
    <hyperlink ref="H64" r:id="rId63" xr:uid="{00000000-0004-0000-0F00-00003E000000}"/>
    <hyperlink ref="H65" r:id="rId64" xr:uid="{00000000-0004-0000-0F00-00003F000000}"/>
    <hyperlink ref="H66" r:id="rId65" xr:uid="{00000000-0004-0000-0F00-000040000000}"/>
    <hyperlink ref="H67" r:id="rId66" xr:uid="{00000000-0004-0000-0F00-000041000000}"/>
    <hyperlink ref="H68" r:id="rId67" xr:uid="{00000000-0004-0000-0F00-000042000000}"/>
    <hyperlink ref="H69" r:id="rId68" xr:uid="{00000000-0004-0000-0F00-000043000000}"/>
    <hyperlink ref="H70" r:id="rId69" xr:uid="{00000000-0004-0000-0F00-000044000000}"/>
    <hyperlink ref="H71" r:id="rId70" xr:uid="{00000000-0004-0000-0F00-000045000000}"/>
    <hyperlink ref="H72" r:id="rId71" xr:uid="{00000000-0004-0000-0F00-000046000000}"/>
    <hyperlink ref="H73" r:id="rId72" xr:uid="{00000000-0004-0000-0F00-000047000000}"/>
    <hyperlink ref="H74" r:id="rId73" xr:uid="{00000000-0004-0000-0F00-000048000000}"/>
    <hyperlink ref="H75" r:id="rId74" xr:uid="{00000000-0004-0000-0F00-000049000000}"/>
    <hyperlink ref="H76" r:id="rId75" xr:uid="{00000000-0004-0000-0F00-00004A000000}"/>
    <hyperlink ref="H77" r:id="rId76" xr:uid="{00000000-0004-0000-0F00-00004B000000}"/>
    <hyperlink ref="H78" r:id="rId77" xr:uid="{00000000-0004-0000-0F00-00004C000000}"/>
    <hyperlink ref="H79" r:id="rId78" xr:uid="{00000000-0004-0000-0F00-00004D000000}"/>
    <hyperlink ref="H80" r:id="rId79" xr:uid="{00000000-0004-0000-0F00-00004E000000}"/>
    <hyperlink ref="H81" r:id="rId80" xr:uid="{00000000-0004-0000-0F00-00004F000000}"/>
    <hyperlink ref="H82" r:id="rId81" xr:uid="{00000000-0004-0000-0F00-000050000000}"/>
    <hyperlink ref="H83" r:id="rId82" xr:uid="{00000000-0004-0000-0F00-000051000000}"/>
    <hyperlink ref="H84" r:id="rId83" xr:uid="{00000000-0004-0000-0F00-000052000000}"/>
    <hyperlink ref="H85" r:id="rId84" xr:uid="{00000000-0004-0000-0F00-000053000000}"/>
    <hyperlink ref="H86" r:id="rId85" xr:uid="{00000000-0004-0000-0F00-000054000000}"/>
    <hyperlink ref="H87" r:id="rId86" xr:uid="{00000000-0004-0000-0F00-000055000000}"/>
    <hyperlink ref="H88" r:id="rId87" xr:uid="{00000000-0004-0000-0F00-000056000000}"/>
    <hyperlink ref="H89" r:id="rId88" xr:uid="{00000000-0004-0000-0F00-000057000000}"/>
    <hyperlink ref="H90" r:id="rId89" xr:uid="{00000000-0004-0000-0F00-000058000000}"/>
    <hyperlink ref="H91" r:id="rId90" xr:uid="{00000000-0004-0000-0F00-000059000000}"/>
    <hyperlink ref="H92" r:id="rId91" xr:uid="{00000000-0004-0000-0F00-00005A000000}"/>
    <hyperlink ref="H93" r:id="rId92" xr:uid="{00000000-0004-0000-0F00-00005B000000}"/>
    <hyperlink ref="H94" r:id="rId93" xr:uid="{00000000-0004-0000-0F00-00005C000000}"/>
    <hyperlink ref="H95" r:id="rId94" xr:uid="{00000000-0004-0000-0F00-00005D000000}"/>
    <hyperlink ref="H96" r:id="rId95" xr:uid="{00000000-0004-0000-0F00-00005E000000}"/>
    <hyperlink ref="H97" r:id="rId96" xr:uid="{00000000-0004-0000-0F00-00005F000000}"/>
    <hyperlink ref="H98" r:id="rId97" xr:uid="{00000000-0004-0000-0F00-000060000000}"/>
    <hyperlink ref="H99" r:id="rId98" xr:uid="{00000000-0004-0000-0F00-000061000000}"/>
    <hyperlink ref="H100" r:id="rId99" xr:uid="{00000000-0004-0000-0F00-000062000000}"/>
    <hyperlink ref="H101" r:id="rId100" xr:uid="{00000000-0004-0000-0F00-000063000000}"/>
    <hyperlink ref="H102" r:id="rId101" xr:uid="{00000000-0004-0000-0F00-000064000000}"/>
    <hyperlink ref="H103" r:id="rId102" xr:uid="{00000000-0004-0000-0F00-000065000000}"/>
    <hyperlink ref="H104" r:id="rId103" xr:uid="{00000000-0004-0000-0F00-000066000000}"/>
    <hyperlink ref="H105" r:id="rId104" xr:uid="{00000000-0004-0000-0F00-000067000000}"/>
    <hyperlink ref="H106" r:id="rId105" xr:uid="{00000000-0004-0000-0F00-000068000000}"/>
    <hyperlink ref="H107" r:id="rId106" xr:uid="{00000000-0004-0000-0F00-000069000000}"/>
    <hyperlink ref="H108" r:id="rId107" xr:uid="{00000000-0004-0000-0F00-00006A000000}"/>
    <hyperlink ref="H109" r:id="rId108" xr:uid="{00000000-0004-0000-0F00-00006B000000}"/>
    <hyperlink ref="H110" r:id="rId109" xr:uid="{00000000-0004-0000-0F00-00006C000000}"/>
    <hyperlink ref="H111" r:id="rId110" xr:uid="{00000000-0004-0000-0F00-00006D000000}"/>
    <hyperlink ref="H112" r:id="rId111" xr:uid="{00000000-0004-0000-0F00-00006E000000}"/>
    <hyperlink ref="H113" r:id="rId112" xr:uid="{00000000-0004-0000-0F00-00006F000000}"/>
    <hyperlink ref="H114" r:id="rId113" xr:uid="{00000000-0004-0000-0F00-000070000000}"/>
    <hyperlink ref="H115" r:id="rId114" xr:uid="{00000000-0004-0000-0F00-000071000000}"/>
    <hyperlink ref="H116" r:id="rId115" xr:uid="{00000000-0004-0000-0F00-000072000000}"/>
    <hyperlink ref="H117" r:id="rId116" xr:uid="{00000000-0004-0000-0F00-000073000000}"/>
    <hyperlink ref="H118" r:id="rId117" xr:uid="{00000000-0004-0000-0F00-000074000000}"/>
    <hyperlink ref="H119" r:id="rId118" xr:uid="{00000000-0004-0000-0F00-000075000000}"/>
    <hyperlink ref="H120" r:id="rId119" xr:uid="{00000000-0004-0000-0F00-000076000000}"/>
    <hyperlink ref="H121" r:id="rId120" xr:uid="{00000000-0004-0000-0F00-000077000000}"/>
    <hyperlink ref="H122" r:id="rId121" xr:uid="{00000000-0004-0000-0F00-000078000000}"/>
    <hyperlink ref="H123" r:id="rId122" xr:uid="{00000000-0004-0000-0F00-000079000000}"/>
    <hyperlink ref="H124" r:id="rId123" xr:uid="{00000000-0004-0000-0F00-00007A000000}"/>
    <hyperlink ref="H125" r:id="rId124" xr:uid="{00000000-0004-0000-0F00-00007B000000}"/>
    <hyperlink ref="H126" r:id="rId125" xr:uid="{00000000-0004-0000-0F00-00007C000000}"/>
    <hyperlink ref="H127" r:id="rId126" xr:uid="{00000000-0004-0000-0F00-00007D000000}"/>
    <hyperlink ref="H128" r:id="rId127" xr:uid="{00000000-0004-0000-0F00-00007E000000}"/>
    <hyperlink ref="H129" r:id="rId128" xr:uid="{00000000-0004-0000-0F00-00007F000000}"/>
    <hyperlink ref="H130" r:id="rId129" xr:uid="{00000000-0004-0000-0F00-000080000000}"/>
    <hyperlink ref="H131" r:id="rId130" xr:uid="{00000000-0004-0000-0F00-000081000000}"/>
    <hyperlink ref="H132" r:id="rId131" xr:uid="{00000000-0004-0000-0F00-000082000000}"/>
    <hyperlink ref="H133" r:id="rId132" xr:uid="{00000000-0004-0000-0F00-000083000000}"/>
    <hyperlink ref="H134" r:id="rId133" xr:uid="{00000000-0004-0000-0F00-000084000000}"/>
    <hyperlink ref="H135" r:id="rId134" xr:uid="{00000000-0004-0000-0F00-000085000000}"/>
    <hyperlink ref="H136" r:id="rId135" xr:uid="{00000000-0004-0000-0F00-000086000000}"/>
    <hyperlink ref="H137" r:id="rId136" xr:uid="{00000000-0004-0000-0F00-000087000000}"/>
    <hyperlink ref="H138" r:id="rId137" xr:uid="{00000000-0004-0000-0F00-000088000000}"/>
    <hyperlink ref="H139" r:id="rId138" xr:uid="{00000000-0004-0000-0F00-000089000000}"/>
    <hyperlink ref="H140" r:id="rId139" xr:uid="{00000000-0004-0000-0F00-00008A000000}"/>
    <hyperlink ref="H141" r:id="rId140" xr:uid="{00000000-0004-0000-0F00-00008B000000}"/>
    <hyperlink ref="H142" r:id="rId141" xr:uid="{00000000-0004-0000-0F00-00008C000000}"/>
    <hyperlink ref="H143" r:id="rId142" xr:uid="{00000000-0004-0000-0F00-00008D000000}"/>
    <hyperlink ref="H144" r:id="rId143" xr:uid="{00000000-0004-0000-0F00-00008E000000}"/>
    <hyperlink ref="H145" r:id="rId144" xr:uid="{00000000-0004-0000-0F00-00008F000000}"/>
    <hyperlink ref="H146" r:id="rId145" xr:uid="{00000000-0004-0000-0F00-000090000000}"/>
    <hyperlink ref="H147" r:id="rId146" xr:uid="{00000000-0004-0000-0F00-000091000000}"/>
    <hyperlink ref="H148" r:id="rId147" xr:uid="{00000000-0004-0000-0F00-000092000000}"/>
    <hyperlink ref="H149" r:id="rId148" xr:uid="{00000000-0004-0000-0F00-000093000000}"/>
    <hyperlink ref="H150" r:id="rId149" xr:uid="{00000000-0004-0000-0F00-000094000000}"/>
    <hyperlink ref="H151" r:id="rId150" xr:uid="{00000000-0004-0000-0F00-000095000000}"/>
    <hyperlink ref="H152" r:id="rId151" xr:uid="{00000000-0004-0000-0F00-000096000000}"/>
    <hyperlink ref="H153" r:id="rId152" xr:uid="{00000000-0004-0000-0F00-000097000000}"/>
    <hyperlink ref="H154" r:id="rId153" xr:uid="{00000000-0004-0000-0F00-000098000000}"/>
    <hyperlink ref="H155" r:id="rId154" xr:uid="{00000000-0004-0000-0F00-000099000000}"/>
    <hyperlink ref="H156" r:id="rId155" xr:uid="{00000000-0004-0000-0F00-00009A000000}"/>
    <hyperlink ref="H157" r:id="rId156" xr:uid="{00000000-0004-0000-0F00-00009B000000}"/>
    <hyperlink ref="H158" r:id="rId157" xr:uid="{00000000-0004-0000-0F00-00009C000000}"/>
    <hyperlink ref="H159" r:id="rId158" xr:uid="{00000000-0004-0000-0F00-00009D000000}"/>
    <hyperlink ref="H160" r:id="rId159" xr:uid="{00000000-0004-0000-0F00-00009E000000}"/>
    <hyperlink ref="H161" r:id="rId160" xr:uid="{00000000-0004-0000-0F00-00009F000000}"/>
    <hyperlink ref="H162" r:id="rId161" xr:uid="{00000000-0004-0000-0F00-0000A0000000}"/>
    <hyperlink ref="H163" r:id="rId162" xr:uid="{00000000-0004-0000-0F00-0000A1000000}"/>
    <hyperlink ref="H164" r:id="rId163" xr:uid="{00000000-0004-0000-0F00-0000A2000000}"/>
    <hyperlink ref="H165" r:id="rId164" xr:uid="{00000000-0004-0000-0F00-0000A3000000}"/>
    <hyperlink ref="H166" r:id="rId165" xr:uid="{00000000-0004-0000-0F00-0000A4000000}"/>
    <hyperlink ref="H167" r:id="rId166" xr:uid="{00000000-0004-0000-0F00-0000A5000000}"/>
    <hyperlink ref="H168" r:id="rId167" xr:uid="{00000000-0004-0000-0F00-0000A6000000}"/>
    <hyperlink ref="H169" r:id="rId168" xr:uid="{00000000-0004-0000-0F00-0000A7000000}"/>
    <hyperlink ref="H170" r:id="rId169" xr:uid="{00000000-0004-0000-0F00-0000A8000000}"/>
    <hyperlink ref="H171" r:id="rId170" xr:uid="{00000000-0004-0000-0F00-0000A9000000}"/>
    <hyperlink ref="H172" r:id="rId171" xr:uid="{00000000-0004-0000-0F00-0000AA000000}"/>
    <hyperlink ref="H173" r:id="rId172" xr:uid="{00000000-0004-0000-0F00-0000AB000000}"/>
    <hyperlink ref="H174" r:id="rId173" xr:uid="{00000000-0004-0000-0F00-0000AC000000}"/>
    <hyperlink ref="H175" r:id="rId174" xr:uid="{00000000-0004-0000-0F00-0000AD000000}"/>
    <hyperlink ref="H176" r:id="rId175" xr:uid="{00000000-0004-0000-0F00-0000AE000000}"/>
    <hyperlink ref="H177" r:id="rId176" xr:uid="{00000000-0004-0000-0F00-0000AF000000}"/>
    <hyperlink ref="H178" r:id="rId177" xr:uid="{00000000-0004-0000-0F00-0000B0000000}"/>
    <hyperlink ref="H179" r:id="rId178" xr:uid="{00000000-0004-0000-0F00-0000B1000000}"/>
    <hyperlink ref="H180" r:id="rId179" xr:uid="{00000000-0004-0000-0F00-0000B2000000}"/>
    <hyperlink ref="H181" r:id="rId180" xr:uid="{00000000-0004-0000-0F00-0000B3000000}"/>
    <hyperlink ref="H182" r:id="rId181" xr:uid="{00000000-0004-0000-0F00-0000B4000000}"/>
    <hyperlink ref="H183" r:id="rId182" xr:uid="{00000000-0004-0000-0F00-0000B5000000}"/>
    <hyperlink ref="H184" r:id="rId183" xr:uid="{00000000-0004-0000-0F00-0000B6000000}"/>
    <hyperlink ref="H185" r:id="rId184" xr:uid="{00000000-0004-0000-0F00-0000B7000000}"/>
    <hyperlink ref="H186" r:id="rId185" xr:uid="{00000000-0004-0000-0F00-0000B8000000}"/>
    <hyperlink ref="H187" r:id="rId186" xr:uid="{00000000-0004-0000-0F00-0000B9000000}"/>
    <hyperlink ref="H188" r:id="rId187" xr:uid="{00000000-0004-0000-0F00-0000BA000000}"/>
    <hyperlink ref="H189" r:id="rId188" xr:uid="{00000000-0004-0000-0F00-0000BB000000}"/>
    <hyperlink ref="H190" r:id="rId189" xr:uid="{00000000-0004-0000-0F00-0000BC000000}"/>
    <hyperlink ref="H191" r:id="rId190" xr:uid="{00000000-0004-0000-0F00-0000BD000000}"/>
    <hyperlink ref="H192" r:id="rId191" xr:uid="{00000000-0004-0000-0F00-0000BE000000}"/>
    <hyperlink ref="H193" r:id="rId192" xr:uid="{00000000-0004-0000-0F00-0000BF000000}"/>
    <hyperlink ref="H194" r:id="rId193" xr:uid="{00000000-0004-0000-0F00-0000C0000000}"/>
    <hyperlink ref="H195" r:id="rId194" xr:uid="{00000000-0004-0000-0F00-0000C1000000}"/>
    <hyperlink ref="H196" r:id="rId195" xr:uid="{00000000-0004-0000-0F00-0000C2000000}"/>
    <hyperlink ref="H197" r:id="rId196" xr:uid="{00000000-0004-0000-0F00-0000C3000000}"/>
    <hyperlink ref="H198" r:id="rId197" xr:uid="{00000000-0004-0000-0F00-0000C4000000}"/>
    <hyperlink ref="H199" r:id="rId198" xr:uid="{00000000-0004-0000-0F00-0000C5000000}"/>
    <hyperlink ref="H200" r:id="rId199" xr:uid="{00000000-0004-0000-0F00-0000C6000000}"/>
    <hyperlink ref="H201" r:id="rId200" xr:uid="{00000000-0004-0000-0F00-0000C7000000}"/>
    <hyperlink ref="H202" r:id="rId201" xr:uid="{00000000-0004-0000-0F00-0000C8000000}"/>
    <hyperlink ref="H203" r:id="rId202" xr:uid="{00000000-0004-0000-0F00-0000C9000000}"/>
    <hyperlink ref="H204" r:id="rId203" xr:uid="{00000000-0004-0000-0F00-0000CA000000}"/>
    <hyperlink ref="H205" r:id="rId204" xr:uid="{00000000-0004-0000-0F00-0000CB000000}"/>
    <hyperlink ref="H206" r:id="rId205" xr:uid="{00000000-0004-0000-0F00-0000CC000000}"/>
    <hyperlink ref="H207" r:id="rId206" xr:uid="{00000000-0004-0000-0F00-0000CD000000}"/>
    <hyperlink ref="H208" r:id="rId207" xr:uid="{00000000-0004-0000-0F00-0000CE000000}"/>
    <hyperlink ref="H209" r:id="rId208" xr:uid="{00000000-0004-0000-0F00-0000CF000000}"/>
    <hyperlink ref="H210" r:id="rId209" xr:uid="{00000000-0004-0000-0F00-0000D0000000}"/>
    <hyperlink ref="H211" r:id="rId210" xr:uid="{00000000-0004-0000-0F00-0000D1000000}"/>
    <hyperlink ref="H212" r:id="rId211" xr:uid="{00000000-0004-0000-0F00-0000D2000000}"/>
    <hyperlink ref="H213" r:id="rId212" xr:uid="{00000000-0004-0000-0F00-0000D3000000}"/>
    <hyperlink ref="H214" r:id="rId213" xr:uid="{00000000-0004-0000-0F00-0000D4000000}"/>
    <hyperlink ref="H215" r:id="rId214" xr:uid="{00000000-0004-0000-0F00-0000D5000000}"/>
    <hyperlink ref="H216" r:id="rId215" xr:uid="{00000000-0004-0000-0F00-0000D6000000}"/>
    <hyperlink ref="H217" r:id="rId216" xr:uid="{00000000-0004-0000-0F00-0000D7000000}"/>
    <hyperlink ref="H218" r:id="rId217" xr:uid="{00000000-0004-0000-0F00-0000D8000000}"/>
    <hyperlink ref="H219" r:id="rId218" xr:uid="{00000000-0004-0000-0F00-0000D9000000}"/>
    <hyperlink ref="H220" r:id="rId219" xr:uid="{00000000-0004-0000-0F00-0000DA000000}"/>
    <hyperlink ref="H221" r:id="rId220" xr:uid="{00000000-0004-0000-0F00-0000DB000000}"/>
    <hyperlink ref="H222" r:id="rId221" xr:uid="{00000000-0004-0000-0F00-0000DC000000}"/>
    <hyperlink ref="H223" r:id="rId222" xr:uid="{00000000-0004-0000-0F00-0000DD000000}"/>
    <hyperlink ref="H224" r:id="rId223" xr:uid="{00000000-0004-0000-0F00-0000DE000000}"/>
    <hyperlink ref="H225" r:id="rId224" xr:uid="{00000000-0004-0000-0F00-0000DF000000}"/>
    <hyperlink ref="H226" r:id="rId225" xr:uid="{00000000-0004-0000-0F00-0000E0000000}"/>
    <hyperlink ref="H227" r:id="rId226" xr:uid="{00000000-0004-0000-0F00-0000E1000000}"/>
    <hyperlink ref="H228" r:id="rId227" xr:uid="{00000000-0004-0000-0F00-0000E2000000}"/>
    <hyperlink ref="H229" r:id="rId228" xr:uid="{00000000-0004-0000-0F00-0000E3000000}"/>
    <hyperlink ref="H230" r:id="rId229" xr:uid="{00000000-0004-0000-0F00-0000E4000000}"/>
    <hyperlink ref="H231" r:id="rId230" xr:uid="{00000000-0004-0000-0F00-0000E5000000}"/>
    <hyperlink ref="H232" r:id="rId231" xr:uid="{00000000-0004-0000-0F00-0000E6000000}"/>
    <hyperlink ref="H233" r:id="rId232" xr:uid="{00000000-0004-0000-0F00-0000E7000000}"/>
    <hyperlink ref="H234" r:id="rId233" xr:uid="{00000000-0004-0000-0F00-0000E8000000}"/>
    <hyperlink ref="H235" r:id="rId234" xr:uid="{00000000-0004-0000-0F00-0000E9000000}"/>
    <hyperlink ref="H236" r:id="rId235" xr:uid="{00000000-0004-0000-0F00-0000EA000000}"/>
    <hyperlink ref="H237" r:id="rId236" xr:uid="{00000000-0004-0000-0F00-0000EB000000}"/>
    <hyperlink ref="H238" r:id="rId237" xr:uid="{00000000-0004-0000-0F00-0000EC000000}"/>
    <hyperlink ref="H239" r:id="rId238" xr:uid="{00000000-0004-0000-0F00-0000ED000000}"/>
    <hyperlink ref="H240" r:id="rId239" xr:uid="{00000000-0004-0000-0F00-0000EE000000}"/>
    <hyperlink ref="H241" r:id="rId240" xr:uid="{00000000-0004-0000-0F00-0000EF000000}"/>
    <hyperlink ref="H242" r:id="rId241" xr:uid="{00000000-0004-0000-0F00-0000F0000000}"/>
    <hyperlink ref="H243" r:id="rId242" xr:uid="{00000000-0004-0000-0F00-0000F1000000}"/>
    <hyperlink ref="H244" r:id="rId243" xr:uid="{00000000-0004-0000-0F00-0000F2000000}"/>
    <hyperlink ref="H245" r:id="rId244" xr:uid="{00000000-0004-0000-0F00-0000F3000000}"/>
    <hyperlink ref="H246" r:id="rId245" xr:uid="{00000000-0004-0000-0F00-0000F4000000}"/>
    <hyperlink ref="H247" r:id="rId246" xr:uid="{00000000-0004-0000-0F00-0000F5000000}"/>
    <hyperlink ref="H248" r:id="rId247" xr:uid="{00000000-0004-0000-0F00-0000F6000000}"/>
    <hyperlink ref="H249" r:id="rId248" xr:uid="{00000000-0004-0000-0F00-0000F7000000}"/>
    <hyperlink ref="H250" r:id="rId249" xr:uid="{00000000-0004-0000-0F00-0000F8000000}"/>
    <hyperlink ref="H251" r:id="rId250" xr:uid="{00000000-0004-0000-0F00-0000F9000000}"/>
    <hyperlink ref="H252" r:id="rId251" xr:uid="{00000000-0004-0000-0F00-0000FA000000}"/>
    <hyperlink ref="H253" r:id="rId252" xr:uid="{00000000-0004-0000-0F00-0000FB000000}"/>
    <hyperlink ref="H254" r:id="rId253" xr:uid="{00000000-0004-0000-0F00-0000FC000000}"/>
    <hyperlink ref="H255" r:id="rId254" xr:uid="{00000000-0004-0000-0F00-0000FD000000}"/>
    <hyperlink ref="H256" r:id="rId255" xr:uid="{00000000-0004-0000-0F00-0000FE000000}"/>
    <hyperlink ref="H257" r:id="rId256" xr:uid="{00000000-0004-0000-0F00-0000FF000000}"/>
    <hyperlink ref="H258" r:id="rId257" xr:uid="{00000000-0004-0000-0F00-000000010000}"/>
    <hyperlink ref="H259" r:id="rId258" xr:uid="{00000000-0004-0000-0F00-000001010000}"/>
    <hyperlink ref="H260" r:id="rId259" xr:uid="{00000000-0004-0000-0F00-000002010000}"/>
    <hyperlink ref="H261" r:id="rId260" xr:uid="{00000000-0004-0000-0F00-000003010000}"/>
    <hyperlink ref="H262" r:id="rId261" xr:uid="{00000000-0004-0000-0F00-000004010000}"/>
    <hyperlink ref="H263" r:id="rId262" xr:uid="{00000000-0004-0000-0F00-000005010000}"/>
    <hyperlink ref="H264" r:id="rId263" xr:uid="{00000000-0004-0000-0F00-000006010000}"/>
    <hyperlink ref="H265" r:id="rId264" xr:uid="{00000000-0004-0000-0F00-000007010000}"/>
    <hyperlink ref="H266" r:id="rId265" xr:uid="{00000000-0004-0000-0F00-000008010000}"/>
    <hyperlink ref="H267" r:id="rId266" xr:uid="{00000000-0004-0000-0F00-000009010000}"/>
    <hyperlink ref="H268" r:id="rId267" xr:uid="{00000000-0004-0000-0F00-00000A010000}"/>
    <hyperlink ref="H269" r:id="rId268" xr:uid="{00000000-0004-0000-0F00-00000B010000}"/>
    <hyperlink ref="H270" r:id="rId269" xr:uid="{00000000-0004-0000-0F00-00000C010000}"/>
    <hyperlink ref="H271" r:id="rId270" xr:uid="{00000000-0004-0000-0F00-00000D010000}"/>
    <hyperlink ref="H272" r:id="rId271" xr:uid="{00000000-0004-0000-0F00-00000E010000}"/>
    <hyperlink ref="H273" r:id="rId272" xr:uid="{00000000-0004-0000-0F00-00000F010000}"/>
    <hyperlink ref="H274" r:id="rId273" xr:uid="{00000000-0004-0000-0F00-000010010000}"/>
    <hyperlink ref="H275" r:id="rId274" xr:uid="{00000000-0004-0000-0F00-000011010000}"/>
    <hyperlink ref="H276" r:id="rId275" xr:uid="{00000000-0004-0000-0F00-000012010000}"/>
    <hyperlink ref="H277" r:id="rId276" xr:uid="{00000000-0004-0000-0F00-000013010000}"/>
    <hyperlink ref="H278" r:id="rId277" xr:uid="{00000000-0004-0000-0F00-000014010000}"/>
    <hyperlink ref="H279" r:id="rId278" xr:uid="{00000000-0004-0000-0F00-000015010000}"/>
    <hyperlink ref="H280" r:id="rId279" xr:uid="{00000000-0004-0000-0F00-000016010000}"/>
    <hyperlink ref="H281" r:id="rId280" xr:uid="{00000000-0004-0000-0F00-000017010000}"/>
    <hyperlink ref="H282" r:id="rId281" xr:uid="{00000000-0004-0000-0F00-000018010000}"/>
    <hyperlink ref="H283" r:id="rId282" xr:uid="{00000000-0004-0000-0F00-000019010000}"/>
    <hyperlink ref="H284" r:id="rId283" xr:uid="{00000000-0004-0000-0F00-00001A010000}"/>
    <hyperlink ref="H285" r:id="rId284" xr:uid="{00000000-0004-0000-0F00-00001B010000}"/>
    <hyperlink ref="H286" r:id="rId285" xr:uid="{00000000-0004-0000-0F00-00001C010000}"/>
    <hyperlink ref="H287" r:id="rId286" xr:uid="{00000000-0004-0000-0F00-00001D010000}"/>
    <hyperlink ref="H288" r:id="rId287" xr:uid="{00000000-0004-0000-0F00-00001E010000}"/>
    <hyperlink ref="H289" r:id="rId288" xr:uid="{00000000-0004-0000-0F00-00001F010000}"/>
    <hyperlink ref="H290" r:id="rId289" xr:uid="{00000000-0004-0000-0F00-000020010000}"/>
    <hyperlink ref="H291" r:id="rId290" xr:uid="{00000000-0004-0000-0F00-000021010000}"/>
    <hyperlink ref="H292" r:id="rId291" xr:uid="{00000000-0004-0000-0F00-000022010000}"/>
    <hyperlink ref="H293" r:id="rId292" xr:uid="{00000000-0004-0000-0F00-000023010000}"/>
    <hyperlink ref="H294" r:id="rId293" xr:uid="{00000000-0004-0000-0F00-000024010000}"/>
    <hyperlink ref="H295" r:id="rId294" xr:uid="{00000000-0004-0000-0F00-000025010000}"/>
    <hyperlink ref="H296" r:id="rId295" xr:uid="{00000000-0004-0000-0F00-000026010000}"/>
    <hyperlink ref="H297" r:id="rId296" xr:uid="{00000000-0004-0000-0F00-000027010000}"/>
    <hyperlink ref="H298" r:id="rId297" xr:uid="{00000000-0004-0000-0F00-000028010000}"/>
    <hyperlink ref="H299" r:id="rId298" xr:uid="{00000000-0004-0000-0F00-000029010000}"/>
    <hyperlink ref="H300" r:id="rId299" xr:uid="{00000000-0004-0000-0F00-00002A010000}"/>
    <hyperlink ref="H301" r:id="rId300" xr:uid="{00000000-0004-0000-0F00-00002B010000}"/>
    <hyperlink ref="H302" r:id="rId301" xr:uid="{00000000-0004-0000-0F00-00002C010000}"/>
    <hyperlink ref="H303" r:id="rId302" xr:uid="{00000000-0004-0000-0F00-00002D010000}"/>
    <hyperlink ref="H304" r:id="rId303" xr:uid="{00000000-0004-0000-0F00-00002E010000}"/>
    <hyperlink ref="H305" r:id="rId304" xr:uid="{00000000-0004-0000-0F00-00002F010000}"/>
    <hyperlink ref="H306" r:id="rId305" xr:uid="{00000000-0004-0000-0F00-000030010000}"/>
    <hyperlink ref="H307" r:id="rId306" xr:uid="{00000000-0004-0000-0F00-000031010000}"/>
    <hyperlink ref="H308" r:id="rId307" xr:uid="{00000000-0004-0000-0F00-000032010000}"/>
    <hyperlink ref="H309" r:id="rId308" xr:uid="{00000000-0004-0000-0F00-000033010000}"/>
    <hyperlink ref="H310" r:id="rId309" xr:uid="{00000000-0004-0000-0F00-000034010000}"/>
    <hyperlink ref="H311" r:id="rId310" xr:uid="{00000000-0004-0000-0F00-000035010000}"/>
    <hyperlink ref="H312" r:id="rId311" xr:uid="{00000000-0004-0000-0F00-000036010000}"/>
    <hyperlink ref="H313" r:id="rId312" xr:uid="{00000000-0004-0000-0F00-000037010000}"/>
    <hyperlink ref="H314" r:id="rId313" xr:uid="{00000000-0004-0000-0F00-000038010000}"/>
    <hyperlink ref="H315" r:id="rId314" xr:uid="{00000000-0004-0000-0F00-000039010000}"/>
    <hyperlink ref="H316" r:id="rId315" xr:uid="{00000000-0004-0000-0F00-00003A010000}"/>
    <hyperlink ref="H317" r:id="rId316" xr:uid="{00000000-0004-0000-0F00-00003B010000}"/>
    <hyperlink ref="H318" r:id="rId317" xr:uid="{00000000-0004-0000-0F00-00003C010000}"/>
    <hyperlink ref="H319" r:id="rId318" xr:uid="{00000000-0004-0000-0F00-00003D010000}"/>
    <hyperlink ref="H320" r:id="rId319" xr:uid="{00000000-0004-0000-0F00-00003E010000}"/>
    <hyperlink ref="H321" r:id="rId320" xr:uid="{00000000-0004-0000-0F00-00003F010000}"/>
    <hyperlink ref="H322" r:id="rId321" xr:uid="{00000000-0004-0000-0F00-000040010000}"/>
    <hyperlink ref="H323" r:id="rId322" xr:uid="{00000000-0004-0000-0F00-000041010000}"/>
    <hyperlink ref="H324" r:id="rId323" xr:uid="{00000000-0004-0000-0F00-000042010000}"/>
    <hyperlink ref="H325" r:id="rId324" xr:uid="{00000000-0004-0000-0F00-000043010000}"/>
    <hyperlink ref="H326" r:id="rId325" xr:uid="{00000000-0004-0000-0F00-000044010000}"/>
    <hyperlink ref="H327" r:id="rId326" xr:uid="{00000000-0004-0000-0F00-000045010000}"/>
    <hyperlink ref="H328" r:id="rId327" xr:uid="{00000000-0004-0000-0F00-000046010000}"/>
    <hyperlink ref="H329" r:id="rId328" xr:uid="{00000000-0004-0000-0F00-000047010000}"/>
    <hyperlink ref="H330" r:id="rId329" xr:uid="{00000000-0004-0000-0F00-000048010000}"/>
    <hyperlink ref="H331" r:id="rId330" xr:uid="{00000000-0004-0000-0F00-000049010000}"/>
    <hyperlink ref="H332" r:id="rId331" xr:uid="{00000000-0004-0000-0F00-00004A010000}"/>
    <hyperlink ref="H333" r:id="rId332" xr:uid="{00000000-0004-0000-0F00-00004B010000}"/>
    <hyperlink ref="H334" r:id="rId333" xr:uid="{00000000-0004-0000-0F00-00004C010000}"/>
    <hyperlink ref="H335" r:id="rId334" xr:uid="{00000000-0004-0000-0F00-00004D010000}"/>
    <hyperlink ref="H336" r:id="rId335" xr:uid="{00000000-0004-0000-0F00-00004E010000}"/>
    <hyperlink ref="H337" r:id="rId336" xr:uid="{00000000-0004-0000-0F00-00004F010000}"/>
    <hyperlink ref="H338" r:id="rId337" xr:uid="{00000000-0004-0000-0F00-000050010000}"/>
    <hyperlink ref="H339" r:id="rId338" xr:uid="{00000000-0004-0000-0F00-000051010000}"/>
    <hyperlink ref="H340" r:id="rId339" xr:uid="{00000000-0004-0000-0F00-000052010000}"/>
    <hyperlink ref="H341" r:id="rId340" xr:uid="{00000000-0004-0000-0F00-000053010000}"/>
    <hyperlink ref="H342" r:id="rId341" xr:uid="{00000000-0004-0000-0F00-000054010000}"/>
    <hyperlink ref="H343" r:id="rId342" xr:uid="{00000000-0004-0000-0F00-000055010000}"/>
    <hyperlink ref="H344" r:id="rId343" xr:uid="{00000000-0004-0000-0F00-000056010000}"/>
    <hyperlink ref="H345" r:id="rId344" xr:uid="{00000000-0004-0000-0F00-000057010000}"/>
    <hyperlink ref="H346" r:id="rId345" xr:uid="{00000000-0004-0000-0F00-000058010000}"/>
    <hyperlink ref="H347" r:id="rId346" xr:uid="{00000000-0004-0000-0F00-000059010000}"/>
    <hyperlink ref="H348" r:id="rId347" xr:uid="{00000000-0004-0000-0F00-00005A010000}"/>
    <hyperlink ref="H349" r:id="rId348" xr:uid="{00000000-0004-0000-0F00-00005B010000}"/>
    <hyperlink ref="H350" r:id="rId349" xr:uid="{00000000-0004-0000-0F00-00005C010000}"/>
    <hyperlink ref="H351" r:id="rId350" xr:uid="{00000000-0004-0000-0F00-00005D010000}"/>
    <hyperlink ref="H352" r:id="rId351" xr:uid="{00000000-0004-0000-0F00-00005E010000}"/>
    <hyperlink ref="H353" r:id="rId352" xr:uid="{00000000-0004-0000-0F00-00005F010000}"/>
    <hyperlink ref="H354" r:id="rId353" xr:uid="{00000000-0004-0000-0F00-000060010000}"/>
    <hyperlink ref="H355" r:id="rId354" xr:uid="{00000000-0004-0000-0F00-000061010000}"/>
    <hyperlink ref="H356" r:id="rId355" xr:uid="{00000000-0004-0000-0F00-000062010000}"/>
    <hyperlink ref="H357" r:id="rId356" xr:uid="{00000000-0004-0000-0F00-000063010000}"/>
    <hyperlink ref="H358" r:id="rId357" xr:uid="{00000000-0004-0000-0F00-000064010000}"/>
    <hyperlink ref="H359" r:id="rId358" xr:uid="{00000000-0004-0000-0F00-000065010000}"/>
    <hyperlink ref="H360" r:id="rId359" xr:uid="{00000000-0004-0000-0F00-000066010000}"/>
    <hyperlink ref="H361" r:id="rId360" xr:uid="{00000000-0004-0000-0F00-000067010000}"/>
    <hyperlink ref="H362" r:id="rId361" xr:uid="{00000000-0004-0000-0F00-000068010000}"/>
    <hyperlink ref="H363" r:id="rId362" xr:uid="{00000000-0004-0000-0F00-000069010000}"/>
    <hyperlink ref="H364" r:id="rId363" xr:uid="{00000000-0004-0000-0F00-00006A010000}"/>
    <hyperlink ref="H365" r:id="rId364" xr:uid="{00000000-0004-0000-0F00-00006B010000}"/>
    <hyperlink ref="H366" r:id="rId365" xr:uid="{00000000-0004-0000-0F00-00006C010000}"/>
    <hyperlink ref="H367" r:id="rId366" xr:uid="{00000000-0004-0000-0F00-00006D010000}"/>
    <hyperlink ref="H368" r:id="rId367" xr:uid="{00000000-0004-0000-0F00-00006E010000}"/>
    <hyperlink ref="H369" r:id="rId368" xr:uid="{00000000-0004-0000-0F00-00006F010000}"/>
    <hyperlink ref="H370" r:id="rId369" xr:uid="{00000000-0004-0000-0F00-000070010000}"/>
    <hyperlink ref="H371" r:id="rId370" xr:uid="{00000000-0004-0000-0F00-000071010000}"/>
    <hyperlink ref="H372" r:id="rId371" xr:uid="{00000000-0004-0000-0F00-000072010000}"/>
    <hyperlink ref="H373" r:id="rId372" xr:uid="{00000000-0004-0000-0F00-000073010000}"/>
    <hyperlink ref="H374" r:id="rId373" xr:uid="{00000000-0004-0000-0F00-000074010000}"/>
    <hyperlink ref="H375" r:id="rId374" xr:uid="{00000000-0004-0000-0F00-000075010000}"/>
    <hyperlink ref="H376" r:id="rId375" xr:uid="{00000000-0004-0000-0F00-000076010000}"/>
    <hyperlink ref="H377" r:id="rId376" xr:uid="{00000000-0004-0000-0F00-000077010000}"/>
    <hyperlink ref="H378" r:id="rId377" xr:uid="{00000000-0004-0000-0F00-000078010000}"/>
    <hyperlink ref="H379" r:id="rId378" xr:uid="{00000000-0004-0000-0F00-000079010000}"/>
    <hyperlink ref="H380" r:id="rId379" xr:uid="{00000000-0004-0000-0F00-00007A010000}"/>
    <hyperlink ref="H381" r:id="rId380" xr:uid="{00000000-0004-0000-0F00-00007B010000}"/>
    <hyperlink ref="H382" r:id="rId381" xr:uid="{00000000-0004-0000-0F00-00007C010000}"/>
    <hyperlink ref="H383" r:id="rId382" xr:uid="{00000000-0004-0000-0F00-00007D010000}"/>
    <hyperlink ref="H384" r:id="rId383" xr:uid="{00000000-0004-0000-0F00-00007E010000}"/>
    <hyperlink ref="H385" r:id="rId384" xr:uid="{00000000-0004-0000-0F00-00007F010000}"/>
    <hyperlink ref="H386" r:id="rId385" xr:uid="{00000000-0004-0000-0F00-000080010000}"/>
    <hyperlink ref="H387" r:id="rId386" xr:uid="{00000000-0004-0000-0F00-000081010000}"/>
    <hyperlink ref="H388" r:id="rId387" xr:uid="{00000000-0004-0000-0F00-000082010000}"/>
    <hyperlink ref="H389" r:id="rId388" xr:uid="{00000000-0004-0000-0F00-000083010000}"/>
    <hyperlink ref="H390" r:id="rId389" xr:uid="{00000000-0004-0000-0F00-000084010000}"/>
    <hyperlink ref="H391" r:id="rId390" xr:uid="{00000000-0004-0000-0F00-000085010000}"/>
    <hyperlink ref="H392" r:id="rId391" xr:uid="{00000000-0004-0000-0F00-000086010000}"/>
    <hyperlink ref="H393" r:id="rId392" xr:uid="{00000000-0004-0000-0F00-000087010000}"/>
    <hyperlink ref="H394" r:id="rId393" xr:uid="{00000000-0004-0000-0F00-000088010000}"/>
    <hyperlink ref="H395" r:id="rId394" xr:uid="{00000000-0004-0000-0F00-000089010000}"/>
    <hyperlink ref="H396" r:id="rId395" xr:uid="{00000000-0004-0000-0F00-00008A010000}"/>
    <hyperlink ref="H397" r:id="rId396" xr:uid="{00000000-0004-0000-0F00-00008B010000}"/>
    <hyperlink ref="H398" r:id="rId397" xr:uid="{00000000-0004-0000-0F00-00008C010000}"/>
    <hyperlink ref="H399" r:id="rId398" xr:uid="{00000000-0004-0000-0F00-00008D010000}"/>
    <hyperlink ref="H400" r:id="rId399" xr:uid="{00000000-0004-0000-0F00-00008E010000}"/>
    <hyperlink ref="H401" r:id="rId400" xr:uid="{00000000-0004-0000-0F00-00008F010000}"/>
    <hyperlink ref="H402" r:id="rId401" xr:uid="{00000000-0004-0000-0F00-000090010000}"/>
    <hyperlink ref="H403" r:id="rId402" xr:uid="{00000000-0004-0000-0F00-000091010000}"/>
    <hyperlink ref="H404" r:id="rId403" xr:uid="{00000000-0004-0000-0F00-000092010000}"/>
    <hyperlink ref="H405" r:id="rId404" xr:uid="{00000000-0004-0000-0F00-000093010000}"/>
    <hyperlink ref="H406" r:id="rId405" xr:uid="{00000000-0004-0000-0F00-000094010000}"/>
    <hyperlink ref="H407" r:id="rId406" xr:uid="{00000000-0004-0000-0F00-000095010000}"/>
    <hyperlink ref="H408" r:id="rId407" xr:uid="{00000000-0004-0000-0F00-000096010000}"/>
    <hyperlink ref="H409" r:id="rId408" xr:uid="{00000000-0004-0000-0F00-000097010000}"/>
    <hyperlink ref="H410" r:id="rId409" xr:uid="{00000000-0004-0000-0F00-000098010000}"/>
    <hyperlink ref="H411" r:id="rId410" xr:uid="{00000000-0004-0000-0F00-000099010000}"/>
    <hyperlink ref="H412" r:id="rId411" xr:uid="{00000000-0004-0000-0F00-00009A010000}"/>
    <hyperlink ref="H413" r:id="rId412" xr:uid="{00000000-0004-0000-0F00-00009B010000}"/>
    <hyperlink ref="H414" r:id="rId413" xr:uid="{00000000-0004-0000-0F00-00009C010000}"/>
    <hyperlink ref="H415" r:id="rId414" xr:uid="{00000000-0004-0000-0F00-00009D010000}"/>
    <hyperlink ref="H416" r:id="rId415" xr:uid="{00000000-0004-0000-0F00-00009E010000}"/>
    <hyperlink ref="H417" r:id="rId416" xr:uid="{00000000-0004-0000-0F00-00009F010000}"/>
    <hyperlink ref="H418" r:id="rId417" xr:uid="{00000000-0004-0000-0F00-0000A0010000}"/>
    <hyperlink ref="H419" r:id="rId418" xr:uid="{00000000-0004-0000-0F00-0000A1010000}"/>
    <hyperlink ref="H420" r:id="rId419" xr:uid="{00000000-0004-0000-0F00-0000A2010000}"/>
    <hyperlink ref="H421" r:id="rId420" xr:uid="{00000000-0004-0000-0F00-0000A3010000}"/>
    <hyperlink ref="H422" r:id="rId421" xr:uid="{00000000-0004-0000-0F00-0000A4010000}"/>
    <hyperlink ref="H423" r:id="rId422" xr:uid="{00000000-0004-0000-0F00-0000A5010000}"/>
    <hyperlink ref="H424" r:id="rId423" xr:uid="{00000000-0004-0000-0F00-0000A6010000}"/>
    <hyperlink ref="H425" r:id="rId424" xr:uid="{00000000-0004-0000-0F00-0000A7010000}"/>
    <hyperlink ref="H426" r:id="rId425" xr:uid="{00000000-0004-0000-0F00-0000A8010000}"/>
    <hyperlink ref="H427" r:id="rId426" xr:uid="{00000000-0004-0000-0F00-0000A9010000}"/>
    <hyperlink ref="H428" r:id="rId427" xr:uid="{00000000-0004-0000-0F00-0000AA010000}"/>
    <hyperlink ref="H429" r:id="rId428" xr:uid="{00000000-0004-0000-0F00-0000AB010000}"/>
    <hyperlink ref="H430" r:id="rId429" xr:uid="{00000000-0004-0000-0F00-0000AC010000}"/>
    <hyperlink ref="H431" r:id="rId430" xr:uid="{00000000-0004-0000-0F00-0000AD010000}"/>
    <hyperlink ref="H432" r:id="rId431" xr:uid="{00000000-0004-0000-0F00-0000AE010000}"/>
    <hyperlink ref="H433" r:id="rId432" xr:uid="{00000000-0004-0000-0F00-0000AF010000}"/>
    <hyperlink ref="H434" r:id="rId433" xr:uid="{00000000-0004-0000-0F00-0000B0010000}"/>
    <hyperlink ref="H435" r:id="rId434" xr:uid="{00000000-0004-0000-0F00-0000B1010000}"/>
    <hyperlink ref="H436" r:id="rId435" xr:uid="{00000000-0004-0000-0F00-0000B2010000}"/>
    <hyperlink ref="H437" r:id="rId436" xr:uid="{00000000-0004-0000-0F00-0000B3010000}"/>
    <hyperlink ref="H438" r:id="rId437" xr:uid="{00000000-0004-0000-0F00-0000B4010000}"/>
    <hyperlink ref="H439" r:id="rId438" xr:uid="{00000000-0004-0000-0F00-0000B5010000}"/>
    <hyperlink ref="H440" r:id="rId439" xr:uid="{00000000-0004-0000-0F00-0000B6010000}"/>
    <hyperlink ref="H441" r:id="rId440" xr:uid="{00000000-0004-0000-0F00-0000B7010000}"/>
    <hyperlink ref="H442" r:id="rId441" xr:uid="{00000000-0004-0000-0F00-0000B8010000}"/>
    <hyperlink ref="H443" r:id="rId442" xr:uid="{00000000-0004-0000-0F00-0000B9010000}"/>
    <hyperlink ref="H444" r:id="rId443" xr:uid="{00000000-0004-0000-0F00-0000BA010000}"/>
    <hyperlink ref="H445" r:id="rId444" xr:uid="{00000000-0004-0000-0F00-0000BB010000}"/>
    <hyperlink ref="H446" r:id="rId445" xr:uid="{00000000-0004-0000-0F00-0000BC010000}"/>
    <hyperlink ref="H447" r:id="rId446" xr:uid="{00000000-0004-0000-0F00-0000BD010000}"/>
    <hyperlink ref="H448" r:id="rId447" xr:uid="{00000000-0004-0000-0F00-0000BE010000}"/>
    <hyperlink ref="H449" r:id="rId448" xr:uid="{00000000-0004-0000-0F00-0000BF010000}"/>
    <hyperlink ref="H450" r:id="rId449" xr:uid="{00000000-0004-0000-0F00-0000C0010000}"/>
    <hyperlink ref="H451" r:id="rId450" xr:uid="{00000000-0004-0000-0F00-0000C1010000}"/>
    <hyperlink ref="H452" r:id="rId451" xr:uid="{00000000-0004-0000-0F00-0000C2010000}"/>
    <hyperlink ref="H453" r:id="rId452" xr:uid="{00000000-0004-0000-0F00-0000C3010000}"/>
    <hyperlink ref="H454" r:id="rId453" xr:uid="{00000000-0004-0000-0F00-0000C4010000}"/>
    <hyperlink ref="H455" r:id="rId454" xr:uid="{00000000-0004-0000-0F00-0000C5010000}"/>
    <hyperlink ref="H456" r:id="rId455" xr:uid="{00000000-0004-0000-0F00-0000C6010000}"/>
    <hyperlink ref="H457" r:id="rId456" xr:uid="{00000000-0004-0000-0F00-0000C7010000}"/>
    <hyperlink ref="H458" r:id="rId457" xr:uid="{00000000-0004-0000-0F00-0000C8010000}"/>
    <hyperlink ref="H459" r:id="rId458" xr:uid="{00000000-0004-0000-0F00-0000C9010000}"/>
    <hyperlink ref="H460" r:id="rId459" xr:uid="{00000000-0004-0000-0F00-0000CA010000}"/>
    <hyperlink ref="H461" r:id="rId460" xr:uid="{00000000-0004-0000-0F00-0000CB010000}"/>
    <hyperlink ref="H462" r:id="rId461" xr:uid="{00000000-0004-0000-0F00-0000CC010000}"/>
    <hyperlink ref="H463" r:id="rId462" xr:uid="{00000000-0004-0000-0F00-0000CD010000}"/>
    <hyperlink ref="H464" r:id="rId463" xr:uid="{00000000-0004-0000-0F00-0000CE010000}"/>
    <hyperlink ref="H465" r:id="rId464" xr:uid="{00000000-0004-0000-0F00-0000CF010000}"/>
    <hyperlink ref="H466" r:id="rId465" xr:uid="{00000000-0004-0000-0F00-0000D0010000}"/>
    <hyperlink ref="H467" r:id="rId466" xr:uid="{00000000-0004-0000-0F00-0000D1010000}"/>
    <hyperlink ref="H468" r:id="rId467" xr:uid="{00000000-0004-0000-0F00-0000D2010000}"/>
    <hyperlink ref="H469" r:id="rId468" xr:uid="{00000000-0004-0000-0F00-0000D3010000}"/>
    <hyperlink ref="H470" r:id="rId469" xr:uid="{00000000-0004-0000-0F00-0000D4010000}"/>
    <hyperlink ref="H471" r:id="rId470" xr:uid="{00000000-0004-0000-0F00-0000D5010000}"/>
    <hyperlink ref="H472" r:id="rId471" xr:uid="{00000000-0004-0000-0F00-0000D6010000}"/>
    <hyperlink ref="H473" r:id="rId472" xr:uid="{00000000-0004-0000-0F00-0000D701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Read Me</vt:lpstr>
      <vt:lpstr>1. PT City Performance</vt:lpstr>
      <vt:lpstr>2. Competitor Benchmark</vt:lpstr>
      <vt:lpstr>3. Auto-Reply Analysis</vt:lpstr>
      <vt:lpstr>4. Reply Templates</vt:lpstr>
      <vt:lpstr>5. Audience Categories</vt:lpstr>
      <vt:lpstr>6. Content Types</vt:lpstr>
      <vt:lpstr>7. Visual Identity</vt:lpstr>
      <vt:lpstr>8. Captions</vt:lpstr>
      <vt:lpstr>9. Target Audience</vt:lpstr>
      <vt:lpstr>10. Tone of Voice</vt:lpstr>
      <vt:lpstr>11. Recommendations</vt:lpstr>
      <vt:lpstr>12. Report &amp; Action Plan</vt:lpstr>
      <vt:lpstr>Platforms &amp; Age</vt:lpstr>
      <vt:lpstr>Post Data</vt:lpstr>
      <vt:lpstr>Comment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hussam elshopary</cp:lastModifiedBy>
  <dcterms:created xsi:type="dcterms:W3CDTF">2026-10-13T16:19:59Z</dcterms:created>
  <dcterms:modified xsi:type="dcterms:W3CDTF">2026-10-13T16:23:20Z</dcterms:modified>
</cp:coreProperties>
</file>